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bookViews>
    <workbookView xWindow="0" yWindow="0" windowWidth="22260" windowHeight="11610" tabRatio="791" activeTab="1"/>
  </bookViews>
  <sheets>
    <sheet name="BDI" sheetId="3" r:id="rId1"/>
    <sheet name="PLANILHA ORÇAMENTÁRIA" sheetId="1" r:id="rId2"/>
    <sheet name="QUANTITATIVOS" sheetId="5" r:id="rId3"/>
    <sheet name="CRONOGRAMA" sheetId="7" r:id="rId4"/>
    <sheet name="COMPOSIÇÕES DIFERENCIADAS" sheetId="9" r:id="rId5"/>
    <sheet name="MEMORIAL DESCRITIVO" sheetId="10" r:id="rId6"/>
    <sheet name="tabela auxiliar" sheetId="11" r:id="rId7"/>
  </sheets>
  <externalReferences>
    <externalReference r:id="rId8"/>
  </externalReferences>
  <definedNames>
    <definedName name="_xlnm._FilterDatabase" localSheetId="4" hidden="1">'COMPOSIÇÕES DIFERENCIADAS'!$A$8:$K$40</definedName>
    <definedName name="_xlnm._FilterDatabase" localSheetId="3" hidden="1">CRONOGRAMA!$A$11:$C$1048576</definedName>
    <definedName name="_xlnm._FilterDatabase" localSheetId="1" hidden="1">'PLANILHA ORÇAMENTÁRIA'!$A$11:$I$99</definedName>
    <definedName name="_xlnm._FilterDatabase" localSheetId="2" hidden="1">QUANTITATIVOS!$A$8:$E$96</definedName>
    <definedName name="_xlnm.Print_Area" localSheetId="0">BDI!$A$1:$N$38</definedName>
    <definedName name="_xlnm.Print_Area" localSheetId="4">'COMPOSIÇÕES DIFERENCIADAS'!$A$1:$G$46</definedName>
    <definedName name="_xlnm.Print_Area" localSheetId="3">CRONOGRAMA!$A$1:$H$47</definedName>
    <definedName name="_xlnm.Print_Area" localSheetId="5">'MEMORIAL DESCRITIVO'!$A$1:$B$41</definedName>
    <definedName name="_xlnm.Print_Area" localSheetId="1">'PLANILHA ORÇAMENTÁRIA'!$A$1:$I$105</definedName>
    <definedName name="_xlnm.Print_Area" localSheetId="2">QUANTITATIVOS!$A:$E</definedName>
    <definedName name="_xlnm.Print_Area" localSheetId="6">'tabela auxiliar'!$A$1:$AD$28</definedName>
    <definedName name="BDI.TipoObra" hidden="1">[1]BDI!$A$138:$A$146</definedName>
    <definedName name="DESONERACAO" hidden="1">IF(OR(Import.Desoneracao="DESONERADO",Import.Desoneracao="SIM"),"SIM","NÃO")</definedName>
    <definedName name="Import.Desoneracao" hidden="1">OFFSET([1]DADOS!$G$18,0,-1)</definedName>
    <definedName name="_xlnm.Print_Titles" localSheetId="4">'COMPOSIÇÕES DIFERENCIADAS'!$7:$8</definedName>
    <definedName name="_xlnm.Print_Titles" localSheetId="3">CRONOGRAMA!$1:$11</definedName>
    <definedName name="_xlnm.Print_Titles" localSheetId="5">'MEMORIAL DESCRITIVO'!$1:$6</definedName>
    <definedName name="_xlnm.Print_Titles" localSheetId="1">'PLANILHA ORÇAMENTÁRIA'!$11:$11</definedName>
    <definedName name="_xlnm.Print_Titles" localSheetId="2">QUANTITATIVOS!$8:$8</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6" i="7"/>
  <c r="Q25" i="11" l="1"/>
  <c r="P25"/>
  <c r="K24"/>
  <c r="T23"/>
  <c r="U23" s="1"/>
  <c r="K23" s="1"/>
  <c r="K25" s="1"/>
  <c r="S22"/>
  <c r="R22"/>
  <c r="Q22"/>
  <c r="P22"/>
  <c r="O21"/>
  <c r="H21"/>
  <c r="I21" s="1"/>
  <c r="J21" s="1"/>
  <c r="AC19"/>
  <c r="AC18"/>
  <c r="T19"/>
  <c r="U19" s="1"/>
  <c r="N19"/>
  <c r="L19"/>
  <c r="M19" s="1"/>
  <c r="K19"/>
  <c r="G19"/>
  <c r="H19" s="1"/>
  <c r="I19" s="1"/>
  <c r="J19" s="1"/>
  <c r="AC17"/>
  <c r="T18"/>
  <c r="G18" s="1"/>
  <c r="H18" s="1"/>
  <c r="I18" s="1"/>
  <c r="J18" s="1"/>
  <c r="N18"/>
  <c r="L18"/>
  <c r="M18" s="1"/>
  <c r="AC16"/>
  <c r="W15"/>
  <c r="T17"/>
  <c r="U17" s="1"/>
  <c r="L17"/>
  <c r="M17" s="1"/>
  <c r="D17"/>
  <c r="AC15"/>
  <c r="T16"/>
  <c r="U16" s="1"/>
  <c r="K16" s="1"/>
  <c r="N16"/>
  <c r="L16"/>
  <c r="M16" s="1"/>
  <c r="G16"/>
  <c r="H16" s="1"/>
  <c r="I16" s="1"/>
  <c r="J16" s="1"/>
  <c r="W13"/>
  <c r="T15"/>
  <c r="U15" s="1"/>
  <c r="K15" s="1"/>
  <c r="N15"/>
  <c r="L15"/>
  <c r="M15" s="1"/>
  <c r="W12"/>
  <c r="T14"/>
  <c r="U14" s="1"/>
  <c r="K14" s="1"/>
  <c r="N14"/>
  <c r="L14"/>
  <c r="M14" s="1"/>
  <c r="T13"/>
  <c r="U13" s="1"/>
  <c r="K13" s="1"/>
  <c r="N13"/>
  <c r="L13"/>
  <c r="M13" s="1"/>
  <c r="AC11"/>
  <c r="T12"/>
  <c r="U12" s="1"/>
  <c r="D12"/>
  <c r="G12" s="1"/>
  <c r="H12" s="1"/>
  <c r="I12" s="1"/>
  <c r="J12" s="1"/>
  <c r="AC10"/>
  <c r="W9"/>
  <c r="T11"/>
  <c r="U11" s="1"/>
  <c r="K11" s="1"/>
  <c r="N11"/>
  <c r="L11"/>
  <c r="M11" s="1"/>
  <c r="AC9"/>
  <c r="T10"/>
  <c r="U10" s="1"/>
  <c r="K10" s="1"/>
  <c r="N10"/>
  <c r="L10"/>
  <c r="M10" s="1"/>
  <c r="AC8"/>
  <c r="T9"/>
  <c r="U9" s="1"/>
  <c r="K9" s="1"/>
  <c r="N9"/>
  <c r="L9"/>
  <c r="M9" s="1"/>
  <c r="G9"/>
  <c r="H9" s="1"/>
  <c r="I9" s="1"/>
  <c r="J9" s="1"/>
  <c r="AC7"/>
  <c r="T8"/>
  <c r="G8" s="1"/>
  <c r="H8" s="1"/>
  <c r="I8" s="1"/>
  <c r="J8" s="1"/>
  <c r="N8"/>
  <c r="L8"/>
  <c r="M8" s="1"/>
  <c r="AC6"/>
  <c r="T7"/>
  <c r="G7" s="1"/>
  <c r="H7" s="1"/>
  <c r="I7" s="1"/>
  <c r="J7" s="1"/>
  <c r="N7"/>
  <c r="L7"/>
  <c r="M7" s="1"/>
  <c r="AC5"/>
  <c r="W4"/>
  <c r="U6"/>
  <c r="K6" s="1"/>
  <c r="T6"/>
  <c r="O6"/>
  <c r="N6"/>
  <c r="L6"/>
  <c r="M6" s="1"/>
  <c r="W3"/>
  <c r="T5"/>
  <c r="G5" s="1"/>
  <c r="N5"/>
  <c r="L5"/>
  <c r="M5" s="1"/>
  <c r="T4"/>
  <c r="U4" s="1"/>
  <c r="K4" s="1"/>
  <c r="N4"/>
  <c r="L4"/>
  <c r="M4" s="1"/>
  <c r="K17" l="1"/>
  <c r="K12"/>
  <c r="G17"/>
  <c r="H17" s="1"/>
  <c r="I17" s="1"/>
  <c r="J17" s="1"/>
  <c r="N17"/>
  <c r="N22" s="1"/>
  <c r="O22"/>
  <c r="G15"/>
  <c r="H15" s="1"/>
  <c r="I15" s="1"/>
  <c r="J15" s="1"/>
  <c r="G23"/>
  <c r="G25" s="1"/>
  <c r="AC12"/>
  <c r="M22"/>
  <c r="H5"/>
  <c r="U18"/>
  <c r="K18" s="1"/>
  <c r="U8"/>
  <c r="K8" s="1"/>
  <c r="U7"/>
  <c r="K7" s="1"/>
  <c r="L22"/>
  <c r="U5"/>
  <c r="K5" s="1"/>
  <c r="B4" i="10"/>
  <c r="B5"/>
  <c r="B6"/>
  <c r="B3"/>
  <c r="H34" i="7"/>
  <c r="H32"/>
  <c r="H30"/>
  <c r="H26"/>
  <c r="H24"/>
  <c r="H22"/>
  <c r="H20"/>
  <c r="H18"/>
  <c r="H14"/>
  <c r="H36"/>
  <c r="B34"/>
  <c r="B32"/>
  <c r="B28"/>
  <c r="B30"/>
  <c r="B18"/>
  <c r="B22"/>
  <c r="B24"/>
  <c r="B26"/>
  <c r="H23" i="11" l="1"/>
  <c r="K22"/>
  <c r="G22"/>
  <c r="H25"/>
  <c r="I23"/>
  <c r="I5"/>
  <c r="H22"/>
  <c r="B12" i="7"/>
  <c r="B14"/>
  <c r="B16"/>
  <c r="B20"/>
  <c r="J5" i="11" l="1"/>
  <c r="J22" s="1"/>
  <c r="I22"/>
  <c r="J23"/>
  <c r="J25" s="1"/>
  <c r="I25"/>
  <c r="B5" i="7" l="1"/>
  <c r="B9"/>
  <c r="B8"/>
  <c r="B7"/>
  <c r="B3"/>
  <c r="B4"/>
  <c r="B4" i="3" l="1"/>
  <c r="B5"/>
  <c r="B3"/>
  <c r="C6"/>
  <c r="C5"/>
  <c r="C4"/>
  <c r="C3"/>
  <c r="B6" i="7" l="1"/>
  <c r="C11" l="1"/>
  <c r="C37" l="1"/>
  <c r="D37" l="1"/>
  <c r="E37"/>
  <c r="F37"/>
  <c r="G37"/>
  <c r="C33"/>
  <c r="C21"/>
  <c r="C19"/>
  <c r="C27"/>
  <c r="C15"/>
  <c r="C25"/>
  <c r="C23"/>
  <c r="C29"/>
  <c r="C13"/>
  <c r="D33" l="1"/>
  <c r="E33"/>
  <c r="F33"/>
  <c r="G33"/>
  <c r="E15"/>
  <c r="F15"/>
  <c r="G15"/>
  <c r="D15"/>
  <c r="F25"/>
  <c r="G25"/>
  <c r="D25"/>
  <c r="H25" s="1"/>
  <c r="E25"/>
  <c r="F21"/>
  <c r="G21"/>
  <c r="D21"/>
  <c r="H21" s="1"/>
  <c r="E21"/>
  <c r="F23"/>
  <c r="G23"/>
  <c r="E23"/>
  <c r="H23" s="1"/>
  <c r="D23"/>
  <c r="F19"/>
  <c r="E19"/>
  <c r="G19"/>
  <c r="D19"/>
  <c r="E29"/>
  <c r="D28"/>
  <c r="F29"/>
  <c r="F27"/>
  <c r="E27"/>
  <c r="G27"/>
  <c r="D27"/>
  <c r="H27" s="1"/>
  <c r="H19"/>
  <c r="H15"/>
  <c r="H37"/>
  <c r="H33"/>
  <c r="D29" l="1"/>
  <c r="G28"/>
  <c r="G29" s="1"/>
  <c r="C17"/>
  <c r="H29" l="1"/>
  <c r="E17"/>
  <c r="G17"/>
  <c r="D16"/>
  <c r="H28"/>
  <c r="C35"/>
  <c r="D35" l="1"/>
  <c r="E35"/>
  <c r="G35"/>
  <c r="F35"/>
  <c r="F16"/>
  <c r="F17" s="1"/>
  <c r="D17"/>
  <c r="C31"/>
  <c r="D31" l="1"/>
  <c r="D40" s="1"/>
  <c r="F31"/>
  <c r="E31"/>
  <c r="E40" s="1"/>
  <c r="G31"/>
  <c r="G40"/>
  <c r="C42"/>
  <c r="C30" s="1"/>
  <c r="C40"/>
  <c r="H35"/>
  <c r="H16"/>
  <c r="C28" l="1"/>
  <c r="C12"/>
  <c r="C34"/>
  <c r="C26"/>
  <c r="C36"/>
  <c r="C16"/>
  <c r="C18"/>
  <c r="C20"/>
  <c r="C32"/>
  <c r="E39"/>
  <c r="C24"/>
  <c r="C14"/>
  <c r="C22"/>
  <c r="D39"/>
  <c r="D12" s="1"/>
  <c r="D13" s="1"/>
  <c r="G39"/>
  <c r="H31"/>
  <c r="H17"/>
  <c r="F40"/>
  <c r="F39" s="1"/>
  <c r="G12" l="1"/>
  <c r="G13" s="1"/>
  <c r="G42" s="1"/>
  <c r="G41" s="1"/>
  <c r="E12"/>
  <c r="E13" s="1"/>
  <c r="E42" s="1"/>
  <c r="E41" s="1"/>
  <c r="F12"/>
  <c r="F13" s="1"/>
  <c r="F42" s="1"/>
  <c r="F41" s="1"/>
  <c r="C39"/>
  <c r="C41"/>
  <c r="H40"/>
  <c r="H39" s="1"/>
  <c r="D42"/>
  <c r="D41" s="1"/>
  <c r="H12" l="1"/>
  <c r="H13"/>
  <c r="H42" s="1"/>
  <c r="H41" s="1"/>
</calcChain>
</file>

<file path=xl/sharedStrings.xml><?xml version="1.0" encoding="utf-8"?>
<sst xmlns="http://schemas.openxmlformats.org/spreadsheetml/2006/main" count="1131" uniqueCount="500">
  <si>
    <t>PLANILHA ORÇAMENTÁRIA</t>
  </si>
  <si>
    <t>MUNICÍPIO:</t>
  </si>
  <si>
    <t>OBRA:</t>
  </si>
  <si>
    <t>DATA:</t>
  </si>
  <si>
    <t>REF.:</t>
  </si>
  <si>
    <t>ITEM</t>
  </si>
  <si>
    <t>REFERENCIA</t>
  </si>
  <si>
    <t>CÓDIGO</t>
  </si>
  <si>
    <t>DESCRIÇÃO</t>
  </si>
  <si>
    <t>UNID.</t>
  </si>
  <si>
    <t>QUANT.</t>
  </si>
  <si>
    <t>VALOR TOTAL COM BDI</t>
  </si>
  <si>
    <t>BDI:</t>
  </si>
  <si>
    <t>MARÇO DE 2024</t>
  </si>
  <si>
    <t>COMPOSIÇÃO DE BDI</t>
  </si>
  <si>
    <t>Conforme legislação tributária municipal, definir estimativa de percentual da base de cálculo para o ISS:</t>
  </si>
  <si>
    <t>Sobre a base de cálculo, definir a respectiva alíquota do ISS (entre 2% e 5%):</t>
  </si>
  <si>
    <t>TIPO DE OBRA</t>
  </si>
  <si>
    <t>Construção e Reforma de Edifícios</t>
  </si>
  <si>
    <t>Itens</t>
  </si>
  <si>
    <t>Siglas</t>
  </si>
  <si>
    <t>% Adotado</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</si>
  <si>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</si>
  <si>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</si>
  <si>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</si>
  <si>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</si>
  <si>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</si>
  <si>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</si>
  <si>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</si>
  <si>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</si>
  <si>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</si>
  <si>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</si>
  <si>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</si>
  <si>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</si>
  <si>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</si>
  <si>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</si>
  <si>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</si>
  <si>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</si>
  <si>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</si>
  <si>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</si>
  <si>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</si>
  <si>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</si>
  <si>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</si>
  <si>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Os valores de BDI foram calculados com o emprego da fórmula:</t>
  </si>
  <si>
    <t>BDI =</t>
  </si>
  <si>
    <t>(1+AC + S + R + G)*(1 + DF)*(1+L)</t>
  </si>
  <si>
    <t xml:space="preserve"> - 1</t>
  </si>
  <si>
    <t>(1-CP-ISS-CRPB)</t>
  </si>
  <si>
    <t>Declaro para os devidos fins que o regime de Contribuição Previdenciária sobre a Receita Bruta adotado para elaboração do orçamento foi SEM Desoneração, e que esta é a alternativa mais adequada para a Administração Pública.</t>
  </si>
  <si>
    <t>ADMINISTRAÇÃO LOCAL</t>
  </si>
  <si>
    <t>CUSTO UNITÁRIO SEM BDI</t>
  </si>
  <si>
    <t>CUSTO UNITÁRIO COM BDI</t>
  </si>
  <si>
    <t>Memória de Cálculo</t>
  </si>
  <si>
    <t xml:space="preserve">                MEMÓRIA CALCULO DE QUANTITATIVOS</t>
  </si>
  <si>
    <t>CRONOGRAMA FÍSICO-FINANCEIRO</t>
  </si>
  <si>
    <t>MÊS 1</t>
  </si>
  <si>
    <t>MÊS 2</t>
  </si>
  <si>
    <t>TOTAL</t>
  </si>
  <si>
    <t>Físico %</t>
  </si>
  <si>
    <t>Total sem ADM Local</t>
  </si>
  <si>
    <t>COMPOSIÇÕES DIFERENCIADAS</t>
  </si>
  <si>
    <t>Código</t>
  </si>
  <si>
    <t>Referência</t>
  </si>
  <si>
    <t>Descrição</t>
  </si>
  <si>
    <t>Unid.</t>
  </si>
  <si>
    <t>Multiplicador</t>
  </si>
  <si>
    <t>Preço</t>
  </si>
  <si>
    <t>Unitário</t>
  </si>
  <si>
    <t>Total</t>
  </si>
  <si>
    <t>MEMORIAL DESCRITIVO</t>
  </si>
  <si>
    <t>Ana Paula Mota Alves</t>
  </si>
  <si>
    <t>Engenheira Civil</t>
  </si>
  <si>
    <t>CREA SP 5062224000 visto MG 22220</t>
  </si>
  <si>
    <t>DELFIM MOREIRA ISS 4%</t>
  </si>
  <si>
    <t>REVISÃO ZERO</t>
  </si>
  <si>
    <t>Declaro para os devidos fins que, conforme legislação tributária municipal, a base de cálculo deste tipo de obra corresponde à 50%, com a respectiva alíquota de 4%.</t>
  </si>
  <si>
    <t>VISÃO GERAL</t>
  </si>
  <si>
    <t>NOTAS:</t>
  </si>
  <si>
    <t>1.1</t>
  </si>
  <si>
    <t>1.2</t>
  </si>
  <si>
    <t>1.3</t>
  </si>
  <si>
    <t>1.4</t>
  </si>
  <si>
    <t>1.5</t>
  </si>
  <si>
    <t>1.6</t>
  </si>
  <si>
    <t>1.7</t>
  </si>
  <si>
    <t>1.8</t>
  </si>
  <si>
    <t>SERVIÇOS PRELIMINARES</t>
  </si>
  <si>
    <t>Deve ser instalada placa de obra em chapa metálica, nas dimensões 2,0x1,0m, no modelo fornecido pela prefeitura.</t>
  </si>
  <si>
    <t>DEMOLIÇÕES E REMOÇÕES</t>
  </si>
  <si>
    <t>ALVENARIA</t>
  </si>
  <si>
    <t>PINTURA</t>
  </si>
  <si>
    <t>ESQUADRIAS</t>
  </si>
  <si>
    <t xml:space="preserve">
1. Os responsáveis técnicos pela autoria dos projetos reservam-se o direito de realizar revisões e alteração em qualquer tempo, visando a melhoria e adequação ao uso das estruturas e instalações.
2. Todos os procedimentos construtivos deverão seguir as normas pertinentes a cada um, independentemente de terem ou não sido citadas as normas neste memorial, de terem sido citados os custos de cada procedimento ou equipamento necessário para a cada etapa na planilha orçamentária, projeto, contrato, ou qualquer outro documento. A obediência às normas técnicas é prioridade para qualquer tarefa a ser executada ou material a ser empregado, por mais simples que seja.
3. Durante todo o decorrer da obra o canteiro deverá manter-se limpo, organizado e proporcionar segurança para os trabalhadores, visitantes e pessoas e/ou atividades nos arredores da construção.
4. Todos os materiais que envolvem definições de acabamento, como pisos, pedras, tintas, janelas, portas entre outros, devem ser previamente apresentados, analisados e aprovados pela Prefeitura, através da Secretaria de Educação, antes da compra e aplicação por parte da empresa executora.
5. As instalações devem estar em pleno funcionamento, sendo que o teste de todas as luminárias, tomadas, torneiras, registros, portas, janelas, hidrantes, e todos os equipamentos e componentes de obra devem ser realizados antes de sua entrega final.
6. A obra deverá ser entregue limpa, livre de restos de material, ferramentas, etc.
</t>
  </si>
  <si>
    <t>REFORMA DA ESCOLA MUNICIPAL JOAQUIM PERES</t>
  </si>
  <si>
    <t>AGOSTO DE 2024</t>
  </si>
  <si>
    <t>SINAPI BH JULHO/2024 NÃO-DESONERADO</t>
  </si>
  <si>
    <t>SEINFRA-MG SUL ABRIL/2024 NÃO DESONERADO</t>
  </si>
  <si>
    <t>MÊS 3</t>
  </si>
  <si>
    <t>MÊS 4</t>
  </si>
  <si>
    <t>1.9</t>
  </si>
  <si>
    <t>1.10</t>
  </si>
  <si>
    <t>1.11</t>
  </si>
  <si>
    <t>1.12</t>
  </si>
  <si>
    <t>1.13</t>
  </si>
  <si>
    <t>MEMÓRIA DE CALCULO DE QUANTITATIVOS</t>
  </si>
  <si>
    <t>SALA N.</t>
  </si>
  <si>
    <t>ÁREA</t>
  </si>
  <si>
    <t>PERÍMETRO</t>
  </si>
  <si>
    <t>pé-direito / altura</t>
  </si>
  <si>
    <t>Altura barrado</t>
  </si>
  <si>
    <t>Demolição barrado esmalte</t>
  </si>
  <si>
    <t>Chapisco</t>
  </si>
  <si>
    <t>Reboco</t>
  </si>
  <si>
    <t>pintura esmalte alvenaria</t>
  </si>
  <si>
    <t>pintura acrílica alvenaria</t>
  </si>
  <si>
    <t>Remover forro de pvc</t>
  </si>
  <si>
    <t>instalar forro pvc</t>
  </si>
  <si>
    <t>instalar roda-forro</t>
  </si>
  <si>
    <t>Construção de alvenaria</t>
  </si>
  <si>
    <t>Demolição de piso</t>
  </si>
  <si>
    <t>Construção de piso</t>
  </si>
  <si>
    <t>remoção de telhado</t>
  </si>
  <si>
    <t>instalação telhado</t>
  </si>
  <si>
    <t>vão barrado</t>
  </si>
  <si>
    <t>vão pintura acrílica</t>
  </si>
  <si>
    <t>item extra</t>
  </si>
  <si>
    <t>m²</t>
  </si>
  <si>
    <t>m</t>
  </si>
  <si>
    <t>Sanitário</t>
  </si>
  <si>
    <t>JANELA</t>
  </si>
  <si>
    <t>Despensa</t>
  </si>
  <si>
    <t>trocar vidro quebrado</t>
  </si>
  <si>
    <t>Largura</t>
  </si>
  <si>
    <t>Altura</t>
  </si>
  <si>
    <t>Quant.</t>
  </si>
  <si>
    <t>Área</t>
  </si>
  <si>
    <t>material</t>
  </si>
  <si>
    <t>Cozinha</t>
  </si>
  <si>
    <t>remover folha de porta madeira</t>
  </si>
  <si>
    <t>metal/vidro</t>
  </si>
  <si>
    <t>Sala de aula</t>
  </si>
  <si>
    <t>instalar folha de porta madeira 80cm</t>
  </si>
  <si>
    <t>uni</t>
  </si>
  <si>
    <t>instala folha de  porta madeira 90cm</t>
  </si>
  <si>
    <t>DML</t>
  </si>
  <si>
    <t>ponto de água</t>
  </si>
  <si>
    <t>BAN.PNE</t>
  </si>
  <si>
    <t>ponto de esgoto</t>
  </si>
  <si>
    <t>SANITÁRIO</t>
  </si>
  <si>
    <t>tratamento de  trincas</t>
  </si>
  <si>
    <t>Refeitório</t>
  </si>
  <si>
    <t>CALHA</t>
  </si>
  <si>
    <t>Ban. Masc.</t>
  </si>
  <si>
    <t>Ponto de gás</t>
  </si>
  <si>
    <t>Ban. Fem.</t>
  </si>
  <si>
    <t>instalar porta nas bancadas</t>
  </si>
  <si>
    <t>PORTA</t>
  </si>
  <si>
    <t>instalar porta de correr 1 folha</t>
  </si>
  <si>
    <t>Secretaria</t>
  </si>
  <si>
    <t>instalar por de 90 cm</t>
  </si>
  <si>
    <t>corredor</t>
  </si>
  <si>
    <t>instalação de esquadria</t>
  </si>
  <si>
    <t>metal</t>
  </si>
  <si>
    <t>madeira</t>
  </si>
  <si>
    <t>informática</t>
  </si>
  <si>
    <t>Lavanderia</t>
  </si>
  <si>
    <t>Casa de gás</t>
  </si>
  <si>
    <t>SOMA</t>
  </si>
  <si>
    <t>externo</t>
  </si>
  <si>
    <t>Fachada</t>
  </si>
  <si>
    <t>Oitão</t>
  </si>
  <si>
    <t>A obra deve ser administrada no local, por um engenheiro civil pleno ou arquiteto pleno por uma média de 80 horas durante a duração da obra, com duração de 4 meses.</t>
  </si>
  <si>
    <t>O vão da porta removida da cozinha deve ser fechado com alvenaria em bloco de concreto estrutural.
Para o novo abrigo para botijão de gás, as paredes devem ser em alvenaria em bloco de concreto estrutural.</t>
  </si>
  <si>
    <t>CORREÇÃO ESTRUTURAL</t>
  </si>
  <si>
    <t>REVESTIMENTO</t>
  </si>
  <si>
    <t>A área de reboco demolido deve ser recomposto com chapisco, reboco com argamassa com aditivo impermeabilizante e a impermeabilização de superfície com argamassa polimérica em 3 demãos.</t>
  </si>
  <si>
    <t>PISO</t>
  </si>
  <si>
    <t xml:space="preserve">O pátio deve receber novo piso em concreto, fck 20 Mpa virado em obra, com 6cm de espessura, armado com tela de aço nervurada fio 5,0mm 10x10cm.             </t>
  </si>
  <si>
    <t>Todo o prédio deve receber nova pintura, sendo as paredes com barrado em tinta esmalte em 2 demãos e acrílica acima do barrado em duas demãos, todas sobre superfície preparada e sobre uma demão de fundo selador.
As portas em madeira, existentes e novas, devem receber pintura em esmalte em duas demãos, sobre uma demão de fundo nivelador.
As janelas metálicas devem receber pintura em tinta esmalte em duas demãos, inclusive uma demão de fundo anticorrosivo.</t>
  </si>
  <si>
    <t>COBERTURA E FORRO</t>
  </si>
  <si>
    <t>OUTROS SERVIÇOS</t>
  </si>
  <si>
    <t>INSTALAÇÕES ELÉTRICAS</t>
  </si>
  <si>
    <t>Todas as instalações elétricas serão refeitas, conforme projeto específico. 
Os eletrodutos serão do tipo flexível e embutidos em todas as paredes das salas, e do tipo rígido aparentes nas paredes da cozinha.
No teto os eletrodutos serão em eletroduto rígido, apoiados/fixados nas estruturas da cobertura e do forro.
As luminárias existentes devem ser removidas e reinstaladas, e quatro novas devem ser instaladas na cozinha.</t>
  </si>
  <si>
    <t>SERVIÇOS FINAIS</t>
  </si>
  <si>
    <t>A obra deve ser entregue limpa, com as instalações funcionando e livre de restos de obras.</t>
  </si>
  <si>
    <t>As portas da cozinha, sala de informática e uma sala de aula serão completamente removidas e trocadas. Todas as demais portas devem ter as folhas removidas para serem trocadas.
Todos os forros existentes devem ser removidas, inclusive a estrutura de madeira.
A cobertura existente da lavanderia deve ser toda demolida.
O piso do pátio descoberto deve ser todo demolido.
Para a instalação da nova porta da cozinha e aumentar o vão das portas da secretaria e da sala de aula em 10cm.
Uma faixa de 1,10m de reboco deve ser demolido em todos os ambientes, conforme indicado em projeto, exceto as áreas revestidas com cerâmica.</t>
  </si>
  <si>
    <t>O prédio possui diversas fissuras que devem ser corrigidas com a execução de demolição de reboco na largura de 50cm em torno do eixo das fissuras, costura com grampo de barra de aço de 4,2mm de diâmetro com 40cm de comprimento espaçadas a cada 10cm, ligação com tela soldada fixada por pinos, com 50cm de largura cada uma de 12cm cobrindo toda a área descascada, e tudo deve ser revestido novamente com argamassa.</t>
  </si>
  <si>
    <t>A lavanderia deve receber nova cobertura, com estrutura de madeira e telhas em fibrocimento, com calha galvanizada.
Nos beirais externos devem ser instaladas calhas galvanizadas.
Todo o forro demolido deve ser refeito, com estrutura bidirecional em canaleta de aço zincado, fixada na estrutura da cobertura, e forro em PVC em régua lisa e roda forro.</t>
  </si>
  <si>
    <t>A nova porta da cozinha será em chapa galvanizada, de correr.
Sob as bancadas da cozinha devem ser instaladas portas em alumínio tipo veneziana.
As novas folhas de portas serão em madeira, com novas fechaduras.
Os vidros quebrados devem ser trocados.
As portas da sala de informática e de uma das salas de aula devem ser substituídas por completo.
As portas da sala de informática, sanitário acessível e da sala de aula devem receber instalação de barra de apoio de 40cm, de acordo com a norma de acessibilidade.
A janela da secretaria deve ser trocada por uma nova em alumínio e vidro, com abertura para atendimento ao público, sobre uma bancada de granito de 40cm de largura.</t>
  </si>
  <si>
    <t xml:space="preserve">A cozinha deve receber nova bancada em granito tipo cinza andorinha, com testeira e roda banca, apoiada em alvenaria de blocos de concreto estrutural, e cuba em aço inoxidável grande para lavagem de panelões, de 60x60x40cm, incluindo válvula, sifão e torneira metálicos.
O ponto de esgoto deve ser executado pelo piso embutido na sapata da bancada, que deve receber rodapé e prateleiras em granito.
Para a instalação da nova cuba devem ser executados pontos de água e esgoto novos, ligados às redes existentes.
Para os fogões devem ser executados pontos em cobre ligados ao abrigo de botijões.
Para a nova cobertura da lavanderia deve ser executado pilar em concreto armado, com seção 20x20cm, com 2,10m de altura, apoiado em broca manual de 3m de profundidade e 25cm de diâmetro.
</t>
  </si>
  <si>
    <t>1.</t>
  </si>
  <si>
    <t>1.1.</t>
  </si>
  <si>
    <t>1.1.1.</t>
  </si>
  <si>
    <t>SINAPI</t>
  </si>
  <si>
    <t>90778</t>
  </si>
  <si>
    <t>ENGENHEIRO CIVIL DE OBRA PLENO COM ENCARGOS COMPLEMENTARES</t>
  </si>
  <si>
    <t>H</t>
  </si>
  <si>
    <t>1.2.</t>
  </si>
  <si>
    <t>1.2.1.</t>
  </si>
  <si>
    <t>103689</t>
  </si>
  <si>
    <t>FORNECIMENTO E INSTALAÇÃO DE PLACA DE OBRA COM CHAPA GALVANIZADA E ESTRUTURA DE MADEIRA. AF_03/2022_PS</t>
  </si>
  <si>
    <t>M2</t>
  </si>
  <si>
    <t>1.3.</t>
  </si>
  <si>
    <t>1.3.1.</t>
  </si>
  <si>
    <t>COMPOSIÇÃO</t>
  </si>
  <si>
    <t>CPU 002</t>
  </si>
  <si>
    <t>REMOÇÃO MANUAL DE FOLHA DE PORTA DE MADEIRA , SEM REAPROVEITAMENTO, INCLUSIVE AFASTAMENTO E EMPILHAMENTO, EXCLUSIVE TRANSPORTE E RETIRADA DO MATERIAL REMOVIDO NÃO REAPROVEITÁVEL</t>
  </si>
  <si>
    <t>1.3.2.</t>
  </si>
  <si>
    <t>97644</t>
  </si>
  <si>
    <t>REMOÇÃO DE PORTAS, DE FORMA MANUAL, SEM REAPROVEITAMENTO. AF_09/2023</t>
  </si>
  <si>
    <t>1.3.3.</t>
  </si>
  <si>
    <t>97640</t>
  </si>
  <si>
    <t>REMOÇÃO DE FORROS DE DRYWALL, PVC E FIBROMINERAL, DE FORMA MANUAL, SEM REAPROVEITAMENTO. AF_09/2023</t>
  </si>
  <si>
    <t>1.3.4.</t>
  </si>
  <si>
    <t>97642</t>
  </si>
  <si>
    <t>REMOÇÃO DE TRAMA METÁLICA OU DE MADEIRA PARA FORRO, DE FORMA MANUAL, SEM REAPROVEITAMENTO. AF_09/2023</t>
  </si>
  <si>
    <t>1.3.5.</t>
  </si>
  <si>
    <t>97647</t>
  </si>
  <si>
    <t>REMOÇÃO DE TELHAS DE FIBROCIMENTO METÁLICA E CERÂMICA, DE FORMA MANUAL, SEM REAPROVEITAMENTO. AF_09/2023</t>
  </si>
  <si>
    <t>1.3.6.</t>
  </si>
  <si>
    <t>SEINFRA-MG</t>
  </si>
  <si>
    <t>ED-48454</t>
  </si>
  <si>
    <t>REMOÇÃO MANUAL DE ENGRADAMENTO PARA TELHA TIPO METÁLICA, PVC OU FIBROCIMENTO, COM REAPROVEITAMENTO, INCLUSIVE AFASTAMENTO E EMPILHAMENTO, EXCLUSIVE TRANSPORTE E RETIRADA DO MATERIAL REMOVIDO NÃO REAPROVEITÁVEL</t>
  </si>
  <si>
    <t>m2</t>
  </si>
  <si>
    <t>1.3.7.</t>
  </si>
  <si>
    <t>ED-48479</t>
  </si>
  <si>
    <t>DEMOLIÇÃO MANUAL DE PISO CIMENTADO OU CONTRAPISO DE ARGAMASSA, COM ESPESSURA MÁXIMA DE 10CM, INCLUSIVE AFASTAMENTO E EMPILHAMENTO, EXCLUSIVE TRANSPORTE E RETIRADA DO MATERIAL DEMOLIDO</t>
  </si>
  <si>
    <t>1.3.8.</t>
  </si>
  <si>
    <t>97622</t>
  </si>
  <si>
    <t>DEMOLIÇÃO DE ALVENARIA DE BLOCO FURADO, DE FORMA MANUAL, SEM REAPROVEITAMENTO. AF_09/2023</t>
  </si>
  <si>
    <t>M3</t>
  </si>
  <si>
    <t>1.3.9.</t>
  </si>
  <si>
    <t>97631</t>
  </si>
  <si>
    <t>DEMOLIÇÃO DE ARGAMASSAS, DE FORMA MANUAL, SEM REAPROVEITAMENTO. AF_09/2023</t>
  </si>
  <si>
    <t>1.4.</t>
  </si>
  <si>
    <t>1.4.1.</t>
  </si>
  <si>
    <t>89470</t>
  </si>
  <si>
    <t>ALVENARIA DE BLOCOS DE CONCRETO ESTRUTURAL 14X19X39 CM (ESPESSURA 14 CM), FBK = 4,5 MPA, UTILIZANDO COLHER DE PEDREIRO. AF_10/2022</t>
  </si>
  <si>
    <t>1.5.</t>
  </si>
  <si>
    <t>1.5.1.</t>
  </si>
  <si>
    <t>ED-48501</t>
  </si>
  <si>
    <t>DEMOLIÇÃO MANUAL DE REBOCO OU EMBOÇO, COM ESPESSURA DE ATÉ 55MM, INCLUSIVE AFASTAMENTO E EMPILHAMENTO, EXCLUSIVE TRANSPORTE E RETIRADA DO MATERIAL DEMOLIDO</t>
  </si>
  <si>
    <t>1.5.2.</t>
  </si>
  <si>
    <t>ED-8005</t>
  </si>
  <si>
    <t>COSTURA DE TRINCA COM GRAMPO, BARRA DE AÇO CA-60 Ø4,2MM, COMPRIMENTO TOTAL 40CM, ESPAÇAMENTO DE 10CM, INCLUSIVE CORTE, DOBRA E ARGAMASSA, TRAÇO 1:4 (CIMENTO E AREIA), COM PREPARO MECANIZADO</t>
  </si>
  <si>
    <t>1.5.3.</t>
  </si>
  <si>
    <t>ED-50241</t>
  </si>
  <si>
    <t>TELA SOLDADA PARA LIGAÇÃO E PREVENÇÃO DE TRINCA EM ALVENARIA/ESTRUTURA, DIMENSÕES (50X12)CM, INCLUSIVE PINOS DE FIXAÇÃO, EXCLUSIVE REBOCO</t>
  </si>
  <si>
    <t>un</t>
  </si>
  <si>
    <t>1.5.4.</t>
  </si>
  <si>
    <t>ED-50237</t>
  </si>
  <si>
    <t>ENTELAMENTO PREVENTIVO DE SUPERFÍCIE SUJEITA A TRINCA, INCLUSIVE TELA DE POLIÉSTER ESTRUTURANTE, LARGURA DE 25CM, EXCLUSIVE REVESTIMENTO DE ACABAMENTO</t>
  </si>
  <si>
    <t>1.5.5.</t>
  </si>
  <si>
    <t>ED-50729</t>
  </si>
  <si>
    <t>CHAPISCO COM ARGAMASSA, TRAÇO 1:3 (CIMENTO E AREIA), ESP. 5MM, APLICADO EM ALVENARIA COM PENEIRA, INCLUSIVE ARGAMASSA COM PREPARO MECANIZADO</t>
  </si>
  <si>
    <t>1.5.6.</t>
  </si>
  <si>
    <t>ED-50762</t>
  </si>
  <si>
    <t>REVESTIMENTO COM ARGAMASSA EM CAMADA ÚNICA, APLICADO EM PAREDE, TRAÇO 1:3 (CIMENTO E AREIA), ESP. 20MM, APLICAÇÃO MANUAL, INCLUSIVE ARGAMASSA COM PREPARO MECANIZADO, EXCLUSIVE CHAPISCO</t>
  </si>
  <si>
    <t>1.6.</t>
  </si>
  <si>
    <t>1.6.1.</t>
  </si>
  <si>
    <t>87879</t>
  </si>
  <si>
    <t>CHAPISCO APLICADO EM ALVENARIAS E ESTRUTURAS DE CONCRETO INTERNAS, COM COLHER DE PEDREIRO.  ARGAMASSA TRAÇO 1:3 COM PREPARO EM BETONEIRA 400L. AF_10/2022</t>
  </si>
  <si>
    <t>1.6.2.</t>
  </si>
  <si>
    <t>ED-50760</t>
  </si>
  <si>
    <t>REBOCO COM ARGAMASSA, TRAÇO 1:2:9 (CIMENTO, CAL E AREIA), COM ADITIVO IMPERMEABILIZANTE, ESP. 20MM, APLICAÇÃO MANUAL, INCLUSIVE ARGAMASSA COM PREPARO MECANIZADO, EXCLUSIVE CHAPISCO</t>
  </si>
  <si>
    <t>1.6.3.</t>
  </si>
  <si>
    <t>98555</t>
  </si>
  <si>
    <t>IMPERMEABILIZAÇÃO DE SUPERFÍCIE COM ARGAMASSA POLIMÉRICA / MEMBRANA ACRÍLICA, 3 DEMÃOS. AF_09/2023</t>
  </si>
  <si>
    <t>1.7.</t>
  </si>
  <si>
    <t>1.7.1.</t>
  </si>
  <si>
    <t>94992</t>
  </si>
  <si>
    <t>EXECUÇÃO DE PASSEIO (CALÇADA) OU PISO DE CONCRETO COM CONCRETO MOLDADO IN LOCO, FEITO EM OBRA, ACABAMENTO CONVENCIONAL, ESPESSURA 6 CM, ARMADO. AF_08/2022</t>
  </si>
  <si>
    <t>1.8.</t>
  </si>
  <si>
    <t>1.8.1.</t>
  </si>
  <si>
    <t>88485</t>
  </si>
  <si>
    <t>FUNDO SELADOR ACRÍLICO, APLICAÇÃO MANUAL EM PAREDE, UMA DEMÃO. AF_04/2023</t>
  </si>
  <si>
    <t>1.8.2.</t>
  </si>
  <si>
    <t>ED-50509</t>
  </si>
  <si>
    <t>PINTURA ESMALTE EM SUPERFÍCIE DE CONCRETO/ALVENARIA, DUAS (2) DEMÃOS, EXCLUSIVE SELADOR ACRÍLICO E MASSA ACRÍLICA/CORRIDA (PVA)</t>
  </si>
  <si>
    <t>1.8.3.</t>
  </si>
  <si>
    <t>88489</t>
  </si>
  <si>
    <t>PINTURA LÁTEX ACRÍLICA PREMIUM, APLICAÇÃO MANUAL EM PAREDES, DUAS DEMÃOS. AF_04/2023</t>
  </si>
  <si>
    <t>1.8.4.</t>
  </si>
  <si>
    <t>ED-50493</t>
  </si>
  <si>
    <t>PINTURA ESMALTE EM ESQUADRIA DE MADEIRA, DUAS (2) DEMÃOS, INCLUSIVE UMA (1) DEMÃO DE FUNDO NIVELADOR, EXCLUSIVE MASSA A ÓLEO</t>
  </si>
  <si>
    <t>1.8.5.</t>
  </si>
  <si>
    <t>ED-50491</t>
  </si>
  <si>
    <t>PINTURA ESMALTE EM ESQUADRIAS DE FERRO, DUAS (2) DEMÃOS, INCLUSIVE UMA (1) DEMÃO DE FUNDO ANTICORROSIVO</t>
  </si>
  <si>
    <t>1.9.</t>
  </si>
  <si>
    <t>COBERTURA e FORRO</t>
  </si>
  <si>
    <t>1.9.1.</t>
  </si>
  <si>
    <t>94227</t>
  </si>
  <si>
    <t>CALHA EM CHAPA DE AÇO GALVANIZADO NÚMERO 24, DESENVOLVIMENTO DE 33 CM, INCLUSO TRANSPORTE VERTICAL. AF_07/2019</t>
  </si>
  <si>
    <t>M</t>
  </si>
  <si>
    <t>1.9.2.</t>
  </si>
  <si>
    <t>96486</t>
  </si>
  <si>
    <t>FORRO EM RÉGUAS DE PVC, LISO, PARA AMBIENTES COMERCIAIS, INCLUSIVE ESTRUTURA BIDIRECIONAL DE FIXAÇÃO. AF_08/2023_PS</t>
  </si>
  <si>
    <t>1.9.3.</t>
  </si>
  <si>
    <t>96121</t>
  </si>
  <si>
    <t>ACABAMENTOS PARA FORRO (RODA-FORRO EM PERFIL METÁLICO E PLÁSTICO). AF_08/2023</t>
  </si>
  <si>
    <t>1.9.4.</t>
  </si>
  <si>
    <t>92543</t>
  </si>
  <si>
    <t>TRAMA DE MADEIRA COMPOSTA POR TERÇAS PARA TELHADOS DE ATÉ 2 ÁGUAS PARA TELHA ONDULADA DE FIBROCIMENTO, METÁLICA, PLÁSTICA OU TERMOACÚSTICA, INCLUSO TRANSPORTE VERTICAL. AF_07/2019</t>
  </si>
  <si>
    <t>1.9.5.</t>
  </si>
  <si>
    <t>94207</t>
  </si>
  <si>
    <t>TELHAMENTO COM TELHA ONDULADA DE FIBROCIMENTO E = 6 MM, COM RECOBRIMENTO LATERAL DE 1/4 DE ONDA PARA TELHADO COM INCLINAÇÃO MAIOR QUE 10°, COM ATÉ 2 ÁGUAS, INCLUSO IÇAMENTO. AF_07/2019</t>
  </si>
  <si>
    <t>1.10.</t>
  </si>
  <si>
    <t>1.10.1.</t>
  </si>
  <si>
    <t>ED-13888</t>
  </si>
  <si>
    <t>PORTA METÁLICA, TIPO DE CORRER, COM UMA (1) FOLHA, EM CHAPA GALVANIZADA LAMBRIL, MODELO ONDULADA, INCLUSIVE FORNECIMENTO, ASSENTAMENTO, PERFIS PARA MARCO E PINTURA ANTICORROSIVA COM UMA (1) DEMÃO, EXCLUSIVE FECHADURA E ROLDANAS</t>
  </si>
  <si>
    <t>1.10.2.</t>
  </si>
  <si>
    <t>91341</t>
  </si>
  <si>
    <t>PORTA EM ALUMÍNIO DE ABRIR TIPO VENEZIANA COM GUARNIÇÃO, FIXAÇÃO COM PARAFUSOS - FORNECIMENTO E INSTALAÇÃO. AF_12/2019</t>
  </si>
  <si>
    <t>1.10.3.</t>
  </si>
  <si>
    <t>CPU 004</t>
  </si>
  <si>
    <t>FOLHAS DE PORTA DE MADEIRA LEVE OU MÉDIA DE 80CM DE LARGURA, FORNECIMENTO E INSTALAÇÃO</t>
  </si>
  <si>
    <t>UN</t>
  </si>
  <si>
    <t>1.10.4.</t>
  </si>
  <si>
    <t>CPU 005</t>
  </si>
  <si>
    <t>FOLHAS DE PORTA DE MADEIRA LEVE OU MÉDIA DE 90CM DE LARGURA, FORNECIMENTO E INSTALAÇÃO</t>
  </si>
  <si>
    <t>1.10.5.</t>
  </si>
  <si>
    <t>91306</t>
  </si>
  <si>
    <t>FECHADURA DE EMBUTIR PARA PORTAS INTERNAS, COMPLETA, ACABAMENTO PADRÃO MÉDIO, COM EXECUÇÃO DE FURO - FORNECIMENTO E INSTALAÇÃO. AF_12/2019</t>
  </si>
  <si>
    <t>1.10.6.</t>
  </si>
  <si>
    <t>102170</t>
  </si>
  <si>
    <t>INSTALAÇÃO DE VIDRO IMPRESSO, E = 4 MM, EM ESQUADRIA DE ALUMÍNIO OU PVC, FIXADO COM BAGUETE. AF_01/2021_PS</t>
  </si>
  <si>
    <t>1.10.7.</t>
  </si>
  <si>
    <t>90844</t>
  </si>
  <si>
    <t>KIT DE PORTA DE MADEIRA PARA PINTURA, SEMI-OCA (LEVE OU MÉDIA), PADRÃO MÉDIO, 90X210CM, ESPESSURA DE 3,5CM, ITENS INCLUSOS: DOBRADIÇAS, MONTAGEM E INSTALAÇÃO DO BATENTE, FECHADURA COM EXECUÇÃO DO FURO - FORNECIMENTO E INSTALAÇÃO. AF_12/2019</t>
  </si>
  <si>
    <t>1.10.8.</t>
  </si>
  <si>
    <t>94573</t>
  </si>
  <si>
    <t>JANELA DE ALUMÍNIO DE CORRER COM 4 FOLHAS PARA VIDROS, COM VIDROS, BATENTE, ACABAMENTO COM ACETATO OU BRILHANTE E FERRAGENS. EXCLUSIVE ALIZAR E CONTRAMARCO. FORNECIMENTO E INSTALAÇÃO. AF_12/2019</t>
  </si>
  <si>
    <t>1.10.9.</t>
  </si>
  <si>
    <t>ED-48163</t>
  </si>
  <si>
    <t>BARRA DE APOIO EM AÇO INOX POLIDO RETA, DN 1.1/4" (31,75MM), PARA ACESSIBILIDADE (PMR/PCR), COMPRIMENTO 40CM, INSTALADO EM PORTA/PAREDE, INCLUSIVE FORNECIMENTO, INSTALAÇÃO E ACESSÓRIOS PARA FIXAÇÃO</t>
  </si>
  <si>
    <t>1.10.10.</t>
  </si>
  <si>
    <t>ED-48343</t>
  </si>
  <si>
    <t>BANCADA EM GRANITO CINZA ANDORINHA E = 3 CM, APOIADA EM CONSOLE DE METALON 20 X 30 MM</t>
  </si>
  <si>
    <t>1.11.</t>
  </si>
  <si>
    <t>1.11.1.</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</si>
  <si>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</si>
  <si>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</si>
  <si>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1.11.2.</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</si>
  <si>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</si>
  <si>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</si>
  <si>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1.11.3.</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</si>
  <si>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</si>
  <si>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</si>
  <si>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1.11.4.</t>
  </si>
  <si>
    <t>ED-21657</t>
  </si>
  <si>
    <t>BANCADA EM GRANITO, COR CINZA ANDORINHA, ESP. 2CM, ACABAMENTO POLIDO, APOIADA EM ALVENARIA, EXCLUSIVE ALVENARIA, RODABANCA/FRONTÃO, TESTEIRA/FAIXA, FURO EM BANCADA, CUBA METÁLICA, VÁLVULA, SIFÃO, TORNEIRA E ENGATE FLEXÍVEL</t>
  </si>
  <si>
    <t>1.11.5.</t>
  </si>
  <si>
    <t>ED-50691</t>
  </si>
  <si>
    <t>PRATELEIRA DE GRANITO CINZA ANDORINHA, E = 2 CM, APOIADA SOBRE ALVENARIA</t>
  </si>
  <si>
    <t>1.11.6.</t>
  </si>
  <si>
    <t>98685</t>
  </si>
  <si>
    <t>RODAPÉ EM GRANITO, ALTURA 10 CM. AF_09/2020</t>
  </si>
  <si>
    <t>1.11.7.</t>
  </si>
  <si>
    <t>ED-48348</t>
  </si>
  <si>
    <t>RODABANCA/FRONTÃO PARA BANCADA EM GRANITO, COR CINZA ANDORINHA, ESP. 2CM, ALTURA DE 10CM, INCLUSIVE REJUNTAMENTO EM MASSA PLÁSTICA NA COR DA PEDRA</t>
  </si>
  <si>
    <t>1.11.8.</t>
  </si>
  <si>
    <t>ED-48351</t>
  </si>
  <si>
    <t>TESTEIRA EM GRANITO CINZA ANDORINHA</t>
  </si>
  <si>
    <t>1.11.9.</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</si>
  <si>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</si>
  <si>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</si>
  <si>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1.11.10.</t>
  </si>
  <si>
    <t>86910</t>
  </si>
  <si>
    <t>TORNEIRA CROMADA TUBO MÓVEL, DE PAREDE, 1/2" OU 3/4", PARA PIA DE COZINHA, PADRÃO MÉDIO - FORNECIMENTO E INSTALAÇÃO. AF_01/2020</t>
  </si>
  <si>
    <t>1.11.11.</t>
  </si>
  <si>
    <t>101174</t>
  </si>
  <si>
    <t>ESTACA BROCA DE CONCRETO, DIÂMETRO DE 25CM, ESCAVAÇÃO MANUAL COM TRADO CONCHA, COM ARMADURA DE ARRANQUE. AF_05/2020</t>
  </si>
  <si>
    <t>1.11.12.</t>
  </si>
  <si>
    <t>ED-50842</t>
  </si>
  <si>
    <t>PILAR EM CONCRETO APARENTE 20 MPa, INCLUSIVE ARMAÇÃO, FÔRMA PLASTIFICADA E DESFORMA</t>
  </si>
  <si>
    <t>m3</t>
  </si>
  <si>
    <t>1.12.</t>
  </si>
  <si>
    <t>1.12.1.</t>
  </si>
  <si>
    <t>ED-48469</t>
  </si>
  <si>
    <t>REMOÇÃO MANUAL DE LUMINÁRIA COMPACTA (PLAFON, PAINEL LED, ETC.) EMBUTIDA OU SOBREPOR, COM REAPROVEITAMENTO, INCLUSIVE AFASTAMENTO E EMPILHAMENTO, EXCLUSIVE TRANSPORTE E RETIRADA DO MATERIAL REMOVIDO NÃO REAPROVEITÁVEL</t>
  </si>
  <si>
    <t>1.12.2.</t>
  </si>
  <si>
    <t>CPU 006</t>
  </si>
  <si>
    <t>RE-INSTALAÇÃO DE LUMINÁRIAS DE SOBREPOR</t>
  </si>
  <si>
    <t>UND</t>
  </si>
  <si>
    <t>1.12.3.</t>
  </si>
  <si>
    <t>CPU 003</t>
  </si>
  <si>
    <t>CAIXA DE PASSAGEM SOBREPOR EM AÇO - FORNECIMENTO E INSTALAÇÃO</t>
  </si>
  <si>
    <t>und</t>
  </si>
  <si>
    <t>1.12.4.</t>
  </si>
  <si>
    <t>ED-49187</t>
  </si>
  <si>
    <t>CAIXA DE LIGAÇÃO/PASSAGEM EM PVC RÍGIDO PARA ELETRODUTO, DIMENSÕES 4"X2", EMBUTIDA EM ALVENARIA - FORNECIMENTO E INSTALAÇÃO</t>
  </si>
  <si>
    <t>1.12.5.</t>
  </si>
  <si>
    <t>91926</t>
  </si>
  <si>
    <t>CABO DE COBRE FLEXÍVEL ISOLADO, 2,5 MM², ANTI-CHAMA 450/750 V, PARA CIRCUITOS TERMINAIS - FORNECIMENTO E INSTALAÇÃO. AF_03/2023</t>
  </si>
  <si>
    <t>1.12.6.</t>
  </si>
  <si>
    <t>91953</t>
  </si>
  <si>
    <t>INTERRUPTOR SIMPLES (1 MÓDULO), 10A/250V, INCLUINDO SUPORTE E PLACA - FORNECIMENTO E INSTALAÇÃO. AF_03/2023</t>
  </si>
  <si>
    <t>1.12.7.</t>
  </si>
  <si>
    <t>91957</t>
  </si>
  <si>
    <t>INTERRUPTOR SIMPLES (1 MÓDULO) COM INTERRUPTOR PARALELO (1 MÓDULO), 10A/250V, INCLUINDO SUPORTE E PLACA - FORNECIMENTO E INSTALAÇÃO. AF_03/2023</t>
  </si>
  <si>
    <t>1.12.8.</t>
  </si>
  <si>
    <t>92023</t>
  </si>
  <si>
    <t>INTERRUPTOR SIMPLES (1 MÓDULO) COM 1 TOMADA DE EMBUTIR 2P+T 10 A, INCLUINDO SUPORTE E PLACA - FORNECIMENTO E INSTALAÇÃO. AF_03/2023</t>
  </si>
  <si>
    <t>1.12.9.</t>
  </si>
  <si>
    <t>91996</t>
  </si>
  <si>
    <t>TOMADA MÉDIA DE EMBUTIR (1 MÓDULO), 2P+T 10 A, INCLUINDO SUPORTE E PLACA - FORNECIMENTO E INSTALAÇÃO. AF_03/2023</t>
  </si>
  <si>
    <t>1.12.10.</t>
  </si>
  <si>
    <t>ED-15763</t>
  </si>
  <si>
    <t>CONJUNTO DE UM (1) MÓDULO COM FURO PARA SAÍDA DE FIO Ø10MM, COM PLACA 4"X2" DE UM (1) POSTO, INCLUSIVE FORNECIMENTO, INSTALAÇÃO, SUPORTE, MÓDULO E PLACA</t>
  </si>
  <si>
    <t>1.12.11.</t>
  </si>
  <si>
    <t>ED-15114</t>
  </si>
  <si>
    <t>DISJUNTOR DE PROTEÇÃO DIFERENCIAL RESIDUAL (DR), BIPOLAR TIPO DIN, CORRENTE NOMINAL DE 25A, SENSIBILIDADE DE 30MA, FORNECIMENTO E INSTALAÇÃO, INCLUSIVE TERMINAL ILHÓS</t>
  </si>
  <si>
    <t>1.12.12.</t>
  </si>
  <si>
    <t>93654</t>
  </si>
  <si>
    <t>DISJUNTOR MONOPOLAR TIPO DIN, CORRENTE NOMINAL DE 16A - FORNECIMENTO E INSTALAÇÃO. AF_10/2020</t>
  </si>
  <si>
    <t>1.12.13.</t>
  </si>
  <si>
    <t>91863</t>
  </si>
  <si>
    <t>ELETRODUTO RÍGIDO ROSCÁVEL, PVC, DN 25 MM (3/4"), PARA CIRCUITOS TERMINAIS, INSTALADO EM FORRO - FORNECIMENTO E INSTALAÇÃO. AF_03/2023</t>
  </si>
  <si>
    <t>1.12.14.</t>
  </si>
  <si>
    <t>91854</t>
  </si>
  <si>
    <t>ELETRODUTO FLEXÍVEL CORRUGADO, PVC, DN 25 MM (3/4"), PARA CIRCUITOS TERMINAIS, INSTALADO EM PAREDE - FORNECIMENTO E INSTALAÇÃO. AF_03/2023</t>
  </si>
  <si>
    <t>1.12.15.</t>
  </si>
  <si>
    <t>104780</t>
  </si>
  <si>
    <t>RASGO LINEAR MECANIZADO EM ALVENARIA, PARA ELETRODUTOS, DIÂMETROS MENORES OU IGUAIS A 40 MM. AF_09/2023</t>
  </si>
  <si>
    <t>1.12.16.</t>
  </si>
  <si>
    <t>ED-50704</t>
  </si>
  <si>
    <t>ENCHIMENTO DE RASGO EM ALVENARIA/CONCRETO COM ARGAMASSA, DIÂMETRO DE 15MM A 25MM (1/2" A 1"), INCLUSIVE ARGAMASSA, TRAÇO 1:2:8 (CIMENTO, CAL E AREIA), COM PREPARO MECANIZADO</t>
  </si>
  <si>
    <t>1.12.17.</t>
  </si>
  <si>
    <t>91857</t>
  </si>
  <si>
    <t>ELETRODUTO FLEXÍVEL CORRUGADO REFORÇADO, PVC, DN 32 MM (1"), PARA CIRCUITOS TERMINAIS, INSTALADO EM PAREDE - FORNECIMENTO E INSTALAÇÃO. AF_03/2023</t>
  </si>
  <si>
    <t>1.12.18.</t>
  </si>
  <si>
    <t>ED-49499</t>
  </si>
  <si>
    <t>QUADRO DE DISTRIBUIÇÃO PARA 12 MÓDULOS COM BARRAMENTO E CHAVE</t>
  </si>
  <si>
    <t>1.12.19.</t>
  </si>
  <si>
    <t>CPU 001</t>
  </si>
  <si>
    <t>LUMINÁRIA LED, DE SOBREPOR, 35/40W - FORNECIMENTO E INSTALAÇÃO</t>
  </si>
  <si>
    <t>1.13.</t>
  </si>
  <si>
    <t>1.13.1.</t>
  </si>
  <si>
    <t>ED-50266</t>
  </si>
  <si>
    <t>LIMPEZA FINAL PARA ENTREGA DA OBRA</t>
  </si>
  <si>
    <t/>
  </si>
  <si>
    <t>80 horas de acompanhamento ao longo de 4 meses</t>
  </si>
  <si>
    <t>placa 2x1</t>
  </si>
  <si>
    <t>CONFORME TABELA AUXILIAR (REMOÇÃO DAS FOLHAS DE PORTAS E DA JANELA DA SECRETARIA)</t>
  </si>
  <si>
    <t>REMOÇÃO DA PORTA DA COZINHA, SALA DE INFORMÁTICA E SALA DE AULA : 0,8X2,1*3</t>
  </si>
  <si>
    <t>CONFORME TABELA AUXILIAR</t>
  </si>
  <si>
    <t>Área do pátio: 141,98m²</t>
  </si>
  <si>
    <t>FAZER NOVA ABERTURA PARA INSTALAÇÃO DE PORTA NA COZINHA  E AUMENTAR EM 10 CM O VÃO DA PORTA DA SECRETARIA E SALA DE AULA (0,8x2,10x0,15)+(0,1*2,1*2)</t>
  </si>
  <si>
    <t>CONFORME TABELA AUXILIAR, faixa de 1,10m</t>
  </si>
  <si>
    <t>COMPRIMENTO DAS TRINCAS x 0,50m  =(1,2+1+0,5+1,3+1+0,8+1+1,2+0,8+1,5+3+2,1+2,8+0,8+2,1+1,1+2) x 0,5,  CONFORME TABELA AUXILIAR</t>
  </si>
  <si>
    <t>UMA FAIXA TOTAL DE 24,20 M DE TRINCA</t>
  </si>
  <si>
    <t>202 UNIDADES DE TELA DE 50X12 PARA CORREÇÃO DE 24,20M DE TRINCA : 24,20/0,12</t>
  </si>
  <si>
    <t>UMA FAIXA DE 50 CM DE TRINCA COM 24,20 M  : 24,20x0,5</t>
  </si>
  <si>
    <t>UMA FAIXA DE 50 CM DE TRINCA COM 24,20 M  : 24,20x0,6</t>
  </si>
  <si>
    <t>CONFORME TABELA AUXILIAR (ÁREA DA PORTA *3)</t>
  </si>
  <si>
    <t xml:space="preserve">CONFORME TABELA AUXILIAR </t>
  </si>
  <si>
    <t>PORTA NOVA DA COZINHA DE CORRER 0,8X2,10</t>
  </si>
  <si>
    <t>PORTAS EMBAIXO DAS BANCADAS DA PIA (CONFORME TABELA AUXILIAR)</t>
  </si>
  <si>
    <t>NUMÉRO DE FOLHAS DE PORTAS A SEREM TROCADAS</t>
  </si>
  <si>
    <t xml:space="preserve">INSTALAR NAS PORTAS DE 90 CM </t>
  </si>
  <si>
    <t>BANCADA GRANITO NA JANELA DE ATENDIMENTO DA SECRETARIA : 0,40*2</t>
  </si>
  <si>
    <t>NOVA BANCADA COZINHA 2,60X0,70</t>
  </si>
  <si>
    <t xml:space="preserve">Para a nova bancada da cozinha, sendo uma prateleira na meia-altura sob a sapata, de 2x1,24x0,60m e 2x1,04x0,60m </t>
  </si>
  <si>
    <t>A sapata deve receber acabamento em rodapé de granito de 10cm de altura</t>
  </si>
  <si>
    <t>RODABANCA BANCADA NOVA 2,60m</t>
  </si>
  <si>
    <t>TESTEIRA BANCADA NOVA 2,60+0,70+0,70M</t>
  </si>
  <si>
    <t>CUBA NOVA BANCADA</t>
  </si>
  <si>
    <t>PARA A NOVA CUBA</t>
  </si>
  <si>
    <t>PARA PILAR DA NOVA COBERTURA DA LAVANDERIA</t>
  </si>
  <si>
    <t>PARA APOIO DA COBERTURA DA NOVA LAVANDERIA, 20X20X210CM</t>
  </si>
  <si>
    <t>REMOÇÃO DE TODAS AS LUMINÁRIAS EXISTENTES</t>
  </si>
  <si>
    <t>RE-INSTALAÇÃO DE LUMINÁRIAS REMOVIDAS, EXCETO NA COZINHA</t>
  </si>
  <si>
    <t>CONFORME PROJETO</t>
  </si>
  <si>
    <t>PARA EMBUTIMENTO DOS ELETRODUTOS NAS PAREDES</t>
  </si>
  <si>
    <t>NOVAS LUMINÁRIAS NA COZINHA</t>
  </si>
  <si>
    <t xml:space="preserve">ÁREA CONSTRUÍDA </t>
  </si>
  <si>
    <t>SEINFRA-I</t>
  </si>
  <si>
    <t>MATED-9874</t>
  </si>
  <si>
    <t>LÂMPADA (TIPO: LED|FORMATO: TUBULAR|COMPRIMENTO: 240CM/DIÂMETRO: T8[Ø26MM]|POTÊNCIA: 40W|LÚMENS: 3900LM|COR DA LUZ: BRANCA-6500K|SOQUETE-BASE: G13|TENSÃO: 110/220V)</t>
  </si>
  <si>
    <t>88247</t>
  </si>
  <si>
    <t>AUXILIAR DE ELETRICISTA COM ENCARGOS COMPLEMENTARES</t>
  </si>
  <si>
    <t>88264</t>
  </si>
  <si>
    <t>ELETRICISTA COM ENCARGOS COMPLEMENTARES</t>
  </si>
  <si>
    <t>88309</t>
  </si>
  <si>
    <t>PEDREIRO COM ENCARGOS COMPLEMENTARES</t>
  </si>
  <si>
    <t>88316</t>
  </si>
  <si>
    <t>SERVENTE COM ENCARGOS COMPLEMENTARES</t>
  </si>
  <si>
    <t>MATED-11908</t>
  </si>
  <si>
    <t>CAIXA DE PASSAGEM (MATERIAL: AÇO|TIPO: SOBREPOR|COMPRIMENTO*: 102MM|LARGURA*: 102MM|PROFUNDIDADE*: 82MM|ACABAMENTO: PINTURA ELETROSTÁTICA|TAMPA: INCLUSO|REFERÊNCIA: CPS-10 OU EQUIVALENTE)*VALORES REFERENCIAIS APROXIMADOS</t>
  </si>
  <si>
    <t>SINAPI-I</t>
  </si>
  <si>
    <t>11055</t>
  </si>
  <si>
    <t xml:space="preserve">PARAFUSO ROSCA SOBERBA ZINCADO CABECA CHATA FENDA SIMPLES 3,5 X 25 MM (1 ")                                                                                                                                                                                                                                                                                                                                                                                                                               </t>
  </si>
  <si>
    <t xml:space="preserve">UN    </t>
  </si>
  <si>
    <t>88261</t>
  </si>
  <si>
    <t>CARPINTEIRO DE ESQUADRIA COM ENCARGOS COMPLEMENTARES</t>
  </si>
  <si>
    <t>10555</t>
  </si>
  <si>
    <t xml:space="preserve">PORTA DE MADEIRA, FOLHA MEDIA (NBR 15930) DE 800 X 2100 MM, DE 35 MM A 40 MM DE ESPESSURA, NUCLEO SEMI-SOLIDO (SARRAFEADO), CAPA LISA EM HDF, ACABAMENTO EM PRIMER PARA PINTURA                                                                                                                                                                                                                                                                                                                           </t>
  </si>
  <si>
    <t>10556</t>
  </si>
  <si>
    <t xml:space="preserve">PORTA DE MADEIRA, FOLHA MEDIA (NBR 15930) DE 900 X 2100 MM, DE 35 MM A 40 MM DE ESPESSURA, NUCLEO SEMI-SOLIDO (SARRAFEADO), CAPA LISA EM HDF, ACABAMENTO EM PRIMER PARA PINTURA                                                                                                                                                                                                                                                                                                                           </t>
  </si>
  <si>
    <t>A obra consiste na reforma do prédio de forma geral, incluindo troca de forro, nova instalação elétrica completa, concretagem do pátio entre outras melhorias.
A execução deve ser feita com técnica e atenção para não danificar as partes que não sofrerão intervenções.
Nos dois primeiros meses de obra, a serem realizados no ano de 2024, devem ser executados os serviços preliminares, o novo piso do pátio, a nova cobertura da lavanderia, parte das esquadrias, abrigo de gás, ponto de alimentação de gás para os fogões, nova bancada da cozinha, e todos os respectivos serviços de demolição e remoção necessários antes destes.
Os demais serviços serão realizado sno dois meses seguintes, já no ano de 2025.</t>
  </si>
</sst>
</file>

<file path=xl/styles.xml><?xml version="1.0" encoding="utf-8"?>
<styleSheet xmlns="http://schemas.openxmlformats.org/spreadsheetml/2006/main">
  <numFmts count="7">
    <numFmt numFmtId="44" formatCode="_-&quot;R$&quot;\ * #,##0.00_-;\-&quot;R$&quot;\ * #,##0.00_-;_-&quot;R$&quot;\ * &quot;-&quot;??_-;_-@_-"/>
    <numFmt numFmtId="43" formatCode="_-* #,##0.00_-;\-* #,##0.00_-;_-* &quot;-&quot;??_-;_-@_-"/>
    <numFmt numFmtId="164" formatCode="d/m/yy;@"/>
    <numFmt numFmtId="165" formatCode="_(&quot;R$ &quot;* #,##0.00_);_(&quot;R$ &quot;* \(#,##0.00\);_(&quot;R$ &quot;* \-??_);_(@_)"/>
    <numFmt numFmtId="166" formatCode="&quot;R$ &quot;#,##0.00"/>
    <numFmt numFmtId="167" formatCode="0.0%"/>
    <numFmt numFmtId="168" formatCode="_(* #,##0.00_);_(* \(#,##0.00\);_(* &quot;-&quot;??_);_(@_)"/>
  </numFmts>
  <fonts count="43">
    <font>
      <sz val="11"/>
      <color theme="1"/>
      <name val="Calibri"/>
      <family val="2"/>
      <scheme val="minor"/>
    </font>
    <font>
      <sz val="11"/>
      <color theme="1"/>
      <name val="Calibri"/>
      <family val="2"/>
      <scheme val="minor"/>
    </font>
    <font>
      <b/>
      <u/>
      <sz val="10"/>
      <name val="Arial"/>
      <family val="2"/>
    </font>
    <font>
      <sz val="10"/>
      <name val="Arial"/>
      <family val="2"/>
    </font>
    <font>
      <b/>
      <sz val="12"/>
      <name val="Arial"/>
      <family val="2"/>
    </font>
    <font>
      <b/>
      <sz val="10"/>
      <name val="Arial"/>
      <family val="2"/>
    </font>
    <font>
      <b/>
      <sz val="10"/>
      <color rgb="FFFF0000"/>
      <name val="Arial"/>
      <family val="2"/>
    </font>
    <font>
      <b/>
      <sz val="9"/>
      <name val="Arial"/>
      <family val="2"/>
    </font>
    <font>
      <b/>
      <sz val="8"/>
      <name val="Arial"/>
      <family val="2"/>
    </font>
    <font>
      <sz val="9"/>
      <name val="Arial"/>
      <family val="2"/>
    </font>
    <font>
      <b/>
      <sz val="11"/>
      <name val="Arial"/>
      <family val="2"/>
    </font>
    <font>
      <sz val="11"/>
      <name val="Arial"/>
      <family val="2"/>
    </font>
    <font>
      <i/>
      <sz val="12"/>
      <name val="Calibri"/>
      <family val="2"/>
    </font>
    <font>
      <i/>
      <u/>
      <sz val="10"/>
      <name val="Calibri"/>
      <family val="2"/>
    </font>
    <font>
      <i/>
      <sz val="10"/>
      <name val="Calibri"/>
      <family val="2"/>
    </font>
    <font>
      <u/>
      <sz val="10"/>
      <name val="Arial"/>
      <family val="2"/>
    </font>
    <font>
      <b/>
      <u/>
      <sz val="9"/>
      <name val="Arial"/>
      <family val="2"/>
    </font>
    <font>
      <b/>
      <sz val="9"/>
      <color rgb="FFFF0000"/>
      <name val="Arial"/>
      <family val="2"/>
    </font>
    <font>
      <sz val="9"/>
      <color theme="1"/>
      <name val="Arial"/>
      <family val="2"/>
    </font>
    <font>
      <b/>
      <sz val="9"/>
      <color theme="1"/>
      <name val="Arial"/>
      <family val="2"/>
    </font>
    <font>
      <b/>
      <u/>
      <sz val="8"/>
      <name val="Arial"/>
      <family val="2"/>
    </font>
    <font>
      <sz val="8"/>
      <color theme="1"/>
      <name val="Arial"/>
      <family val="2"/>
    </font>
    <font>
      <sz val="9"/>
      <color theme="1"/>
      <name val="Calibri"/>
      <family val="2"/>
      <scheme val="minor"/>
    </font>
    <font>
      <b/>
      <sz val="14"/>
      <name val="Arial"/>
      <family val="2"/>
    </font>
    <font>
      <b/>
      <sz val="11"/>
      <color rgb="FFFF0000"/>
      <name val="Arial"/>
      <family val="2"/>
    </font>
    <font>
      <b/>
      <sz val="11"/>
      <color indexed="8"/>
      <name val="Arial"/>
      <family val="2"/>
    </font>
    <font>
      <b/>
      <i/>
      <sz val="11"/>
      <color theme="1"/>
      <name val="Arial"/>
      <family val="2"/>
    </font>
    <font>
      <sz val="9"/>
      <color theme="0"/>
      <name val="Arial"/>
      <family val="2"/>
    </font>
    <font>
      <sz val="9"/>
      <color rgb="FFFF0000"/>
      <name val="Arial"/>
      <family val="2"/>
    </font>
    <font>
      <b/>
      <sz val="11"/>
      <color theme="1"/>
      <name val="Calibri"/>
      <family val="2"/>
      <scheme val="minor"/>
    </font>
    <font>
      <u/>
      <sz val="9"/>
      <name val="Arial"/>
      <family val="2"/>
    </font>
    <font>
      <b/>
      <sz val="9"/>
      <color theme="1"/>
      <name val="Calibri"/>
      <family val="2"/>
      <scheme val="minor"/>
    </font>
    <font>
      <b/>
      <sz val="11"/>
      <color theme="1"/>
      <name val="Arial"/>
      <family val="2"/>
    </font>
    <font>
      <b/>
      <i/>
      <sz val="9"/>
      <color theme="0" tint="-0.249977111117893"/>
      <name val="Arial"/>
      <family val="2"/>
    </font>
    <font>
      <i/>
      <sz val="9"/>
      <color theme="0" tint="-0.249977111117893"/>
      <name val="Arial"/>
      <family val="2"/>
    </font>
    <font>
      <sz val="9"/>
      <color theme="0" tint="-0.249977111117893"/>
      <name val="Calibri"/>
      <family val="2"/>
      <scheme val="minor"/>
    </font>
    <font>
      <b/>
      <sz val="9"/>
      <color rgb="FF000000"/>
      <name val="Arial"/>
      <family val="2"/>
    </font>
    <font>
      <sz val="9"/>
      <color rgb="FF000000"/>
      <name val="Arial"/>
      <family val="2"/>
    </font>
    <font>
      <sz val="11"/>
      <color rgb="FFFF0000"/>
      <name val="Arial"/>
      <family val="2"/>
    </font>
    <font>
      <sz val="10"/>
      <name val="Calibri"/>
      <family val="2"/>
      <scheme val="minor"/>
    </font>
    <font>
      <b/>
      <sz val="10"/>
      <name val="Calibri"/>
      <family val="2"/>
      <scheme val="minor"/>
    </font>
    <font>
      <sz val="10"/>
      <color theme="1"/>
      <name val="Calibri"/>
      <family val="2"/>
      <scheme val="minor"/>
    </font>
    <font>
      <sz val="14"/>
      <color theme="1"/>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8"/>
      </left>
      <right style="thin">
        <color indexed="8"/>
      </right>
      <top style="thin">
        <color indexed="8"/>
      </top>
      <bottom style="thin">
        <color indexed="8"/>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hair">
        <color indexed="64"/>
      </left>
      <right/>
      <top style="hair">
        <color indexed="64"/>
      </top>
      <bottom style="medium">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9" fillId="0" borderId="0"/>
    <xf numFmtId="165" fontId="3" fillId="0" borderId="0" applyFill="0" applyBorder="0" applyAlignment="0" applyProtection="0"/>
  </cellStyleXfs>
  <cellXfs count="377">
    <xf numFmtId="0" fontId="0" fillId="0" borderId="0" xfId="0"/>
    <xf numFmtId="0" fontId="2" fillId="0" borderId="0" xfId="0" applyFont="1" applyFill="1" applyBorder="1" applyAlignment="1">
      <alignment horizontal="lef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5" fillId="0" borderId="0" xfId="0" applyFont="1" applyFill="1" applyBorder="1" applyAlignment="1">
      <alignment horizontal="center" vertical="center"/>
    </xf>
    <xf numFmtId="164" fontId="5" fillId="0" borderId="0" xfId="1" applyNumberFormat="1" applyFont="1" applyFill="1" applyBorder="1" applyAlignment="1">
      <alignment vertical="center"/>
    </xf>
    <xf numFmtId="43" fontId="3" fillId="0" borderId="0" xfId="1" applyFont="1" applyFill="1" applyBorder="1" applyAlignment="1">
      <alignment vertical="center"/>
    </xf>
    <xf numFmtId="164" fontId="3" fillId="0" borderId="0" xfId="1" applyNumberFormat="1" applyFont="1" applyFill="1" applyBorder="1" applyAlignment="1">
      <alignment horizontal="left" vertical="center"/>
    </xf>
    <xf numFmtId="164" fontId="3" fillId="0" borderId="0" xfId="1" applyNumberFormat="1" applyFont="1" applyFill="1" applyBorder="1" applyAlignment="1">
      <alignment horizontal="center" vertical="center"/>
    </xf>
    <xf numFmtId="4" fontId="5" fillId="0" borderId="0" xfId="0" applyNumberFormat="1" applyFont="1" applyFill="1" applyBorder="1" applyAlignment="1">
      <alignment horizontal="center" vertical="center"/>
    </xf>
    <xf numFmtId="0" fontId="5" fillId="0" borderId="0" xfId="0" applyFont="1" applyFill="1" applyAlignment="1">
      <alignment horizontal="left" vertical="center" wrapText="1"/>
    </xf>
    <xf numFmtId="0" fontId="5" fillId="0" borderId="0" xfId="0" applyFont="1" applyFill="1" applyAlignment="1">
      <alignment horizontal="center" vertical="center" wrapText="1"/>
    </xf>
    <xf numFmtId="0" fontId="5" fillId="0" borderId="0" xfId="0" applyFont="1" applyFill="1" applyAlignment="1">
      <alignment horizontal="left" vertical="center"/>
    </xf>
    <xf numFmtId="0" fontId="5" fillId="0" borderId="0" xfId="0" applyFont="1" applyFill="1" applyAlignment="1">
      <alignment horizontal="center" vertical="center"/>
    </xf>
    <xf numFmtId="0" fontId="7"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3" fillId="0" borderId="0" xfId="0" applyFont="1" applyFill="1" applyBorder="1" applyAlignment="1">
      <alignment horizontal="left" vertical="center"/>
    </xf>
    <xf numFmtId="0" fontId="3" fillId="0" borderId="0" xfId="0" applyFont="1" applyFill="1" applyAlignment="1">
      <alignment vertical="center"/>
    </xf>
    <xf numFmtId="0" fontId="3" fillId="0" borderId="0" xfId="0" applyFont="1" applyFill="1" applyBorder="1" applyAlignment="1">
      <alignment horizontal="left" vertical="center" wrapText="1"/>
    </xf>
    <xf numFmtId="43" fontId="5" fillId="0" borderId="0" xfId="1" applyFont="1" applyFill="1" applyBorder="1" applyAlignment="1">
      <alignment vertical="center"/>
    </xf>
    <xf numFmtId="0" fontId="5" fillId="0" borderId="0" xfId="0" applyFont="1" applyFill="1" applyBorder="1" applyAlignment="1">
      <alignment horizontal="left" vertical="center" wrapText="1"/>
    </xf>
    <xf numFmtId="43" fontId="5" fillId="0" borderId="0" xfId="1" applyFont="1" applyFill="1" applyBorder="1" applyAlignment="1" applyProtection="1">
      <alignment horizontal="left" vertical="center" wrapText="1"/>
      <protection locked="0"/>
    </xf>
    <xf numFmtId="43" fontId="5" fillId="0" borderId="0" xfId="1" applyFont="1" applyFill="1" applyBorder="1" applyAlignment="1">
      <alignment horizontal="left" vertical="center"/>
    </xf>
    <xf numFmtId="0" fontId="6" fillId="0" borderId="0" xfId="0" applyFont="1" applyFill="1" applyAlignment="1">
      <alignment vertical="center"/>
    </xf>
    <xf numFmtId="43" fontId="5" fillId="0" borderId="0" xfId="1" applyFont="1" applyFill="1" applyBorder="1" applyAlignment="1">
      <alignment horizontal="left" vertical="center" wrapText="1"/>
    </xf>
    <xf numFmtId="10" fontId="5" fillId="0" borderId="0" xfId="1" applyNumberFormat="1" applyFont="1" applyFill="1" applyBorder="1" applyAlignment="1">
      <alignment horizontal="center" vertical="center"/>
    </xf>
    <xf numFmtId="0" fontId="0" fillId="0" borderId="0" xfId="0" applyAlignment="1">
      <alignment vertical="center"/>
    </xf>
    <xf numFmtId="0" fontId="3" fillId="0" borderId="0" xfId="0" applyFont="1" applyFill="1" applyBorder="1"/>
    <xf numFmtId="0" fontId="9" fillId="0" borderId="0" xfId="4" applyFont="1" applyFill="1" applyBorder="1" applyAlignment="1" applyProtection="1">
      <alignment horizontal="left"/>
    </xf>
    <xf numFmtId="0" fontId="3" fillId="0" borderId="0" xfId="4" applyFont="1" applyFill="1" applyBorder="1" applyProtection="1"/>
    <xf numFmtId="0" fontId="11" fillId="0" borderId="2" xfId="4" applyFont="1" applyFill="1" applyBorder="1" applyAlignment="1" applyProtection="1">
      <alignment horizontal="center" vertical="center"/>
    </xf>
    <xf numFmtId="10" fontId="11" fillId="0" borderId="2" xfId="4" applyNumberFormat="1" applyFont="1" applyFill="1" applyBorder="1" applyAlignment="1" applyProtection="1">
      <alignment horizontal="center" vertical="center"/>
    </xf>
    <xf numFmtId="10" fontId="11" fillId="0" borderId="2" xfId="4" applyNumberFormat="1" applyFont="1" applyFill="1" applyBorder="1" applyAlignment="1" applyProtection="1">
      <alignment horizontal="center" vertical="center" wrapText="1"/>
    </xf>
    <xf numFmtId="0" fontId="11" fillId="0" borderId="2" xfId="4" applyFont="1" applyFill="1" applyBorder="1" applyAlignment="1" applyProtection="1">
      <alignment horizontal="center" vertical="center" wrapText="1"/>
    </xf>
    <xf numFmtId="10" fontId="10" fillId="0" borderId="2" xfId="4" applyNumberFormat="1" applyFont="1" applyFill="1" applyBorder="1" applyAlignment="1" applyProtection="1">
      <alignment horizontal="center" vertical="center"/>
    </xf>
    <xf numFmtId="0" fontId="3" fillId="0" borderId="0" xfId="4" applyFont="1" applyFill="1" applyBorder="1" applyAlignment="1" applyProtection="1">
      <alignment horizontal="center" vertical="top"/>
    </xf>
    <xf numFmtId="0" fontId="15" fillId="0" borderId="0" xfId="4" applyFont="1" applyFill="1" applyBorder="1" applyAlignment="1" applyProtection="1">
      <alignment horizontal="center" vertical="top"/>
    </xf>
    <xf numFmtId="10" fontId="11" fillId="0" borderId="2" xfId="4" applyNumberFormat="1" applyFont="1" applyFill="1" applyBorder="1" applyAlignment="1" applyProtection="1">
      <alignment horizontal="center" vertical="center"/>
      <protection locked="0"/>
    </xf>
    <xf numFmtId="0" fontId="9" fillId="0" borderId="0" xfId="0" applyFont="1" applyFill="1" applyAlignment="1">
      <alignment vertical="center"/>
    </xf>
    <xf numFmtId="0" fontId="9" fillId="0" borderId="0" xfId="0" applyFont="1" applyFill="1" applyBorder="1" applyAlignment="1">
      <alignment horizontal="center" vertical="center" wrapText="1"/>
    </xf>
    <xf numFmtId="0" fontId="9" fillId="0" borderId="0" xfId="0" applyFont="1" applyFill="1" applyBorder="1" applyAlignment="1">
      <alignment horizontal="left" vertical="center"/>
    </xf>
    <xf numFmtId="164" fontId="9" fillId="0" borderId="0" xfId="1" applyNumberFormat="1" applyFont="1" applyFill="1" applyBorder="1" applyAlignment="1">
      <alignment horizontal="left" vertical="center"/>
    </xf>
    <xf numFmtId="0" fontId="9" fillId="0" borderId="0" xfId="0" applyFont="1" applyFill="1" applyAlignment="1">
      <alignment horizontal="left" vertical="center"/>
    </xf>
    <xf numFmtId="0" fontId="18" fillId="0" borderId="0" xfId="0" applyFont="1" applyAlignment="1">
      <alignment vertical="center"/>
    </xf>
    <xf numFmtId="43" fontId="18" fillId="0" borderId="0" xfId="1" applyFont="1" applyAlignment="1">
      <alignment vertical="center"/>
    </xf>
    <xf numFmtId="0" fontId="18" fillId="0" borderId="0" xfId="0" applyFont="1" applyAlignment="1">
      <alignment vertical="center" wrapText="1"/>
    </xf>
    <xf numFmtId="0" fontId="16" fillId="0" borderId="0" xfId="0" applyFont="1" applyFill="1" applyBorder="1" applyAlignment="1">
      <alignment horizontal="center" vertical="center"/>
    </xf>
    <xf numFmtId="0" fontId="18" fillId="0" borderId="0" xfId="0" applyFont="1" applyAlignment="1">
      <alignment horizontal="center" vertical="center"/>
    </xf>
    <xf numFmtId="164" fontId="7" fillId="0" borderId="0" xfId="1" applyNumberFormat="1" applyFont="1" applyFill="1" applyBorder="1" applyAlignment="1">
      <alignment horizontal="left" vertical="center"/>
    </xf>
    <xf numFmtId="164" fontId="7" fillId="0" borderId="0" xfId="1" applyNumberFormat="1" applyFont="1" applyFill="1" applyBorder="1" applyAlignment="1">
      <alignment horizontal="center" vertical="center" wrapText="1"/>
    </xf>
    <xf numFmtId="44" fontId="9" fillId="0" borderId="0" xfId="2" applyFont="1" applyFill="1" applyBorder="1" applyAlignment="1">
      <alignment vertical="center" wrapText="1"/>
    </xf>
    <xf numFmtId="0" fontId="18" fillId="0" borderId="0" xfId="0" applyFont="1" applyAlignment="1">
      <alignment horizontal="center" vertical="center" wrapText="1"/>
    </xf>
    <xf numFmtId="44" fontId="18" fillId="0" borderId="0" xfId="2" applyFont="1" applyAlignment="1">
      <alignment vertical="center" wrapText="1"/>
    </xf>
    <xf numFmtId="0" fontId="19" fillId="0" borderId="0" xfId="0" applyFont="1" applyAlignment="1">
      <alignment vertical="center"/>
    </xf>
    <xf numFmtId="0" fontId="19" fillId="2" borderId="0" xfId="0" applyFont="1" applyFill="1" applyAlignment="1">
      <alignment vertical="center"/>
    </xf>
    <xf numFmtId="0" fontId="19" fillId="3" borderId="0" xfId="0" applyFont="1" applyFill="1" applyAlignment="1">
      <alignment vertical="center"/>
    </xf>
    <xf numFmtId="0" fontId="21" fillId="0" borderId="0" xfId="0" applyFont="1" applyAlignment="1">
      <alignment horizontal="center" vertical="center"/>
    </xf>
    <xf numFmtId="44" fontId="18" fillId="0" borderId="0" xfId="0" applyNumberFormat="1" applyFont="1" applyAlignment="1">
      <alignment vertical="center"/>
    </xf>
    <xf numFmtId="43" fontId="18" fillId="0" borderId="0" xfId="1" applyNumberFormat="1" applyFont="1" applyAlignment="1">
      <alignment vertical="center" wrapText="1"/>
    </xf>
    <xf numFmtId="44" fontId="18" fillId="0" borderId="0" xfId="2" applyNumberFormat="1" applyFont="1" applyAlignment="1">
      <alignment vertical="center" wrapText="1"/>
    </xf>
    <xf numFmtId="0" fontId="7" fillId="0" borderId="0" xfId="0" applyFont="1" applyFill="1" applyBorder="1" applyAlignment="1">
      <alignment horizontal="left" vertical="center"/>
    </xf>
    <xf numFmtId="43" fontId="9" fillId="0" borderId="0" xfId="1" applyFont="1" applyFill="1" applyBorder="1" applyAlignment="1">
      <alignment horizontal="center" vertical="center" wrapText="1"/>
    </xf>
    <xf numFmtId="43" fontId="7" fillId="0" borderId="0" xfId="1" applyFont="1" applyFill="1" applyBorder="1" applyAlignment="1">
      <alignment vertical="center" wrapText="1"/>
    </xf>
    <xf numFmtId="43" fontId="7" fillId="0" borderId="1" xfId="1" applyFont="1" applyFill="1" applyBorder="1" applyAlignment="1">
      <alignment horizontal="center" vertical="center" wrapText="1"/>
    </xf>
    <xf numFmtId="43" fontId="18" fillId="0" borderId="0" xfId="1" applyFont="1" applyAlignment="1">
      <alignment vertical="center" wrapText="1"/>
    </xf>
    <xf numFmtId="43" fontId="18" fillId="0" borderId="0" xfId="1" applyFont="1" applyAlignment="1">
      <alignment horizontal="left" vertical="center" wrapText="1"/>
    </xf>
    <xf numFmtId="10" fontId="19" fillId="6" borderId="7" xfId="0" applyNumberFormat="1" applyFont="1" applyFill="1" applyBorder="1" applyAlignment="1">
      <alignment vertical="center" wrapText="1"/>
    </xf>
    <xf numFmtId="166" fontId="18" fillId="6" borderId="8" xfId="0" applyNumberFormat="1" applyFont="1" applyFill="1" applyBorder="1" applyAlignment="1">
      <alignment vertical="center" wrapText="1"/>
    </xf>
    <xf numFmtId="166" fontId="19" fillId="6" borderId="9" xfId="0" applyNumberFormat="1" applyFont="1" applyFill="1" applyBorder="1" applyAlignment="1">
      <alignment vertical="center" wrapText="1"/>
    </xf>
    <xf numFmtId="167" fontId="18" fillId="6" borderId="6" xfId="0" applyNumberFormat="1" applyFont="1" applyFill="1" applyBorder="1" applyAlignment="1">
      <alignment vertical="center" wrapText="1"/>
    </xf>
    <xf numFmtId="44" fontId="9" fillId="0" borderId="0" xfId="2" applyFont="1" applyFill="1" applyBorder="1" applyAlignment="1">
      <alignment horizontal="center" vertical="center" wrapText="1"/>
    </xf>
    <xf numFmtId="44" fontId="9" fillId="0" borderId="0" xfId="2" applyFont="1" applyFill="1" applyBorder="1" applyAlignment="1">
      <alignment horizontal="left" vertical="center"/>
    </xf>
    <xf numFmtId="44" fontId="7" fillId="0" borderId="0" xfId="2" applyFont="1" applyFill="1" applyBorder="1" applyAlignment="1">
      <alignment horizontal="left" vertical="center"/>
    </xf>
    <xf numFmtId="44" fontId="17" fillId="0" borderId="0" xfId="2" applyFont="1" applyFill="1" applyAlignment="1">
      <alignment horizontal="left" vertical="center"/>
    </xf>
    <xf numFmtId="44" fontId="9" fillId="0" borderId="0" xfId="2" applyFont="1" applyFill="1" applyAlignment="1">
      <alignment horizontal="left" vertical="center"/>
    </xf>
    <xf numFmtId="0" fontId="18" fillId="3" borderId="0" xfId="0" applyFont="1" applyFill="1" applyAlignment="1">
      <alignment vertical="center"/>
    </xf>
    <xf numFmtId="0" fontId="18" fillId="2" borderId="0" xfId="0" applyFont="1" applyFill="1" applyAlignment="1">
      <alignment vertical="center"/>
    </xf>
    <xf numFmtId="43" fontId="7" fillId="0" borderId="0" xfId="1" applyFont="1" applyFill="1" applyBorder="1" applyAlignment="1">
      <alignment horizontal="left" vertical="center"/>
    </xf>
    <xf numFmtId="0" fontId="7" fillId="0" borderId="0" xfId="0" applyFont="1" applyFill="1" applyAlignment="1">
      <alignment horizontal="left" vertical="center"/>
    </xf>
    <xf numFmtId="43" fontId="9" fillId="0" borderId="0" xfId="1" applyFont="1" applyFill="1" applyBorder="1"/>
    <xf numFmtId="43" fontId="7" fillId="0" borderId="0" xfId="1" applyFont="1" applyFill="1" applyBorder="1"/>
    <xf numFmtId="43" fontId="9" fillId="0" borderId="0" xfId="1" applyFont="1" applyFill="1" applyBorder="1" applyAlignment="1"/>
    <xf numFmtId="43" fontId="7" fillId="0" borderId="0" xfId="1" applyFont="1" applyFill="1" applyBorder="1" applyAlignment="1"/>
    <xf numFmtId="0" fontId="22" fillId="0" borderId="0" xfId="0" applyFont="1" applyAlignment="1"/>
    <xf numFmtId="43" fontId="7" fillId="0" borderId="0" xfId="1" applyFont="1" applyFill="1" applyBorder="1" applyAlignment="1">
      <alignment horizontal="center"/>
    </xf>
    <xf numFmtId="0" fontId="17" fillId="0" borderId="0" xfId="0" applyFont="1" applyFill="1" applyAlignment="1"/>
    <xf numFmtId="43" fontId="9" fillId="0" borderId="0" xfId="1" applyFont="1" applyFill="1" applyBorder="1" applyAlignment="1">
      <alignment vertical="center"/>
    </xf>
    <xf numFmtId="0" fontId="22" fillId="0" borderId="0" xfId="0" applyFont="1"/>
    <xf numFmtId="44" fontId="8" fillId="0" borderId="1" xfId="2" applyFont="1" applyFill="1" applyBorder="1" applyAlignment="1">
      <alignment horizontal="center" vertical="center" wrapText="1"/>
    </xf>
    <xf numFmtId="0" fontId="19" fillId="0" borderId="11" xfId="0" applyFont="1" applyFill="1" applyBorder="1" applyAlignment="1">
      <alignment horizontal="center" vertical="center"/>
    </xf>
    <xf numFmtId="10" fontId="19" fillId="0" borderId="12" xfId="3" applyNumberFormat="1" applyFont="1" applyFill="1" applyBorder="1" applyAlignment="1">
      <alignment vertical="center" wrapText="1"/>
    </xf>
    <xf numFmtId="44" fontId="18" fillId="0" borderId="14" xfId="2" applyFont="1" applyFill="1" applyBorder="1" applyAlignment="1">
      <alignment vertical="center" wrapText="1"/>
    </xf>
    <xf numFmtId="0" fontId="19" fillId="0" borderId="13" xfId="0" applyFont="1" applyFill="1" applyBorder="1" applyAlignment="1">
      <alignment horizontal="center" vertical="center"/>
    </xf>
    <xf numFmtId="0" fontId="19" fillId="2" borderId="15" xfId="0" applyFont="1" applyFill="1" applyBorder="1" applyAlignment="1">
      <alignment horizontal="center" vertical="center"/>
    </xf>
    <xf numFmtId="0" fontId="19" fillId="2" borderId="16"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44" fontId="19" fillId="0" borderId="8" xfId="2" applyFont="1" applyFill="1" applyBorder="1" applyAlignment="1">
      <alignment vertical="center" wrapText="1"/>
    </xf>
    <xf numFmtId="0" fontId="11" fillId="0" borderId="0" xfId="0" applyFont="1" applyFill="1" applyBorder="1" applyAlignment="1">
      <alignment horizontal="left" vertical="center"/>
    </xf>
    <xf numFmtId="0" fontId="10"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11" fillId="0" borderId="0" xfId="0" applyFont="1" applyFill="1" applyAlignment="1">
      <alignment vertical="center"/>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left" vertical="center"/>
    </xf>
    <xf numFmtId="43" fontId="10" fillId="0" borderId="0" xfId="1" applyFon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24" fillId="0" borderId="0" xfId="0" applyFont="1" applyFill="1" applyAlignment="1">
      <alignment horizontal="left" vertical="center"/>
    </xf>
    <xf numFmtId="0" fontId="20" fillId="0" borderId="0" xfId="0" applyFont="1" applyFill="1" applyBorder="1" applyAlignment="1">
      <alignment horizontal="center" vertical="center" wrapText="1"/>
    </xf>
    <xf numFmtId="0" fontId="21" fillId="0" borderId="0" xfId="0" applyFont="1" applyAlignment="1">
      <alignment horizontal="center" vertical="center" wrapText="1"/>
    </xf>
    <xf numFmtId="43" fontId="18" fillId="0" borderId="1" xfId="1" applyFont="1" applyFill="1" applyBorder="1" applyAlignment="1">
      <alignment vertical="center" wrapText="1"/>
    </xf>
    <xf numFmtId="10" fontId="26" fillId="0" borderId="1" xfId="3" applyNumberFormat="1" applyFont="1" applyFill="1" applyBorder="1" applyAlignment="1">
      <alignment vertical="center" wrapText="1"/>
    </xf>
    <xf numFmtId="0" fontId="0" fillId="0" borderId="0" xfId="0" applyFont="1"/>
    <xf numFmtId="0" fontId="7" fillId="0" borderId="0" xfId="0" applyFont="1" applyFill="1" applyBorder="1" applyAlignment="1">
      <alignment horizontal="left" vertical="center"/>
    </xf>
    <xf numFmtId="44" fontId="7" fillId="7" borderId="1" xfId="2" applyFont="1" applyFill="1" applyBorder="1" applyAlignment="1">
      <alignmen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27" fillId="5" borderId="0" xfId="0" applyFont="1" applyFill="1" applyAlignment="1">
      <alignment horizontal="left" vertical="center" wrapText="1"/>
    </xf>
    <xf numFmtId="0" fontId="18" fillId="0" borderId="0" xfId="0" applyFont="1" applyAlignment="1">
      <alignment horizontal="left" vertical="center"/>
    </xf>
    <xf numFmtId="0" fontId="17" fillId="0" borderId="0" xfId="0" applyFont="1" applyFill="1" applyBorder="1" applyAlignment="1">
      <alignment horizontal="left" vertical="center"/>
    </xf>
    <xf numFmtId="0" fontId="30" fillId="0" borderId="0" xfId="0" applyFont="1" applyFill="1" applyBorder="1" applyAlignment="1">
      <alignment horizontal="center" vertical="center"/>
    </xf>
    <xf numFmtId="43" fontId="9" fillId="0" borderId="0" xfId="1" applyFont="1" applyFill="1" applyBorder="1" applyAlignment="1" applyProtection="1">
      <alignment horizontal="center" vertical="center" wrapText="1"/>
      <protection locked="0"/>
    </xf>
    <xf numFmtId="10" fontId="9" fillId="0" borderId="0" xfId="1" applyNumberFormat="1" applyFont="1" applyFill="1" applyBorder="1" applyAlignment="1">
      <alignment horizontal="left" vertical="center"/>
    </xf>
    <xf numFmtId="0" fontId="9" fillId="0" borderId="0" xfId="0" applyFont="1" applyFill="1" applyAlignment="1">
      <alignment horizontal="center" vertical="center" wrapText="1"/>
    </xf>
    <xf numFmtId="164" fontId="9" fillId="0" borderId="0" xfId="1"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164" fontId="11" fillId="0" borderId="0" xfId="1" applyNumberFormat="1" applyFont="1" applyFill="1" applyBorder="1" applyAlignment="1">
      <alignment horizontal="left" vertical="center" wrapText="1"/>
    </xf>
    <xf numFmtId="0" fontId="9" fillId="0" borderId="0" xfId="0" applyFont="1" applyFill="1" applyBorder="1" applyAlignment="1">
      <alignment horizontal="center" vertical="center"/>
    </xf>
    <xf numFmtId="0" fontId="30" fillId="0" borderId="0" xfId="0" applyFont="1" applyFill="1" applyBorder="1" applyAlignment="1">
      <alignment horizontal="center" vertical="center" wrapText="1"/>
    </xf>
    <xf numFmtId="44" fontId="7" fillId="0" borderId="0" xfId="2" applyFont="1" applyFill="1" applyBorder="1" applyAlignment="1">
      <alignment vertical="center" wrapText="1"/>
    </xf>
    <xf numFmtId="0" fontId="10" fillId="0" borderId="0" xfId="0" applyFont="1" applyFill="1" applyBorder="1" applyAlignment="1">
      <alignment horizontal="left" vertical="center"/>
    </xf>
    <xf numFmtId="43" fontId="19" fillId="0" borderId="1" xfId="1" applyFont="1" applyFill="1" applyBorder="1" applyAlignment="1">
      <alignment vertical="center" wrapText="1"/>
    </xf>
    <xf numFmtId="44" fontId="9" fillId="0" borderId="0" xfId="2" applyFont="1" applyFill="1" applyBorder="1" applyAlignment="1">
      <alignment horizontal="left" vertical="center" wrapText="1"/>
    </xf>
    <xf numFmtId="44" fontId="18" fillId="0" borderId="1" xfId="2" applyFont="1" applyFill="1" applyBorder="1" applyAlignment="1">
      <alignment vertical="center"/>
    </xf>
    <xf numFmtId="43" fontId="7" fillId="0" borderId="1" xfId="1" applyFont="1" applyFill="1" applyBorder="1" applyAlignment="1">
      <alignment horizontal="left" vertical="center" wrapText="1"/>
    </xf>
    <xf numFmtId="44" fontId="18" fillId="0" borderId="0" xfId="2" applyFont="1" applyAlignment="1">
      <alignment horizontal="left" vertical="center" wrapText="1"/>
    </xf>
    <xf numFmtId="0" fontId="7" fillId="0" borderId="1" xfId="0" applyFont="1" applyFill="1" applyBorder="1" applyAlignment="1">
      <alignment vertical="center" wrapText="1"/>
    </xf>
    <xf numFmtId="166" fontId="18" fillId="0" borderId="8" xfId="0" applyNumberFormat="1" applyFont="1" applyFill="1" applyBorder="1" applyAlignment="1">
      <alignment vertical="center" wrapText="1"/>
    </xf>
    <xf numFmtId="166" fontId="19" fillId="0" borderId="9" xfId="0" applyNumberFormat="1" applyFont="1" applyFill="1" applyBorder="1" applyAlignment="1">
      <alignment vertical="center" wrapText="1"/>
    </xf>
    <xf numFmtId="0" fontId="7" fillId="0" borderId="1" xfId="0" applyFont="1" applyFill="1" applyBorder="1" applyAlignment="1">
      <alignment horizontal="left" vertical="center" wrapText="1"/>
    </xf>
    <xf numFmtId="0" fontId="19" fillId="0" borderId="8" xfId="0" applyFont="1" applyFill="1" applyBorder="1" applyAlignment="1">
      <alignment horizontal="left" vertical="center" wrapText="1"/>
    </xf>
    <xf numFmtId="49" fontId="25" fillId="0" borderId="1" xfId="0" applyNumberFormat="1" applyFont="1" applyFill="1" applyBorder="1" applyAlignment="1">
      <alignment horizontal="left" vertical="center" wrapText="1"/>
    </xf>
    <xf numFmtId="0" fontId="18" fillId="0" borderId="0" xfId="0" applyFont="1" applyAlignment="1">
      <alignment horizontal="left" vertical="center" wrapText="1"/>
    </xf>
    <xf numFmtId="0" fontId="19" fillId="0" borderId="15" xfId="0" applyFont="1" applyFill="1" applyBorder="1" applyAlignment="1">
      <alignment horizontal="left" vertical="center" wrapText="1"/>
    </xf>
    <xf numFmtId="0" fontId="31" fillId="0" borderId="0" xfId="0" applyFont="1" applyAlignment="1"/>
    <xf numFmtId="44" fontId="32" fillId="0" borderId="1" xfId="2" applyFont="1" applyFill="1" applyBorder="1" applyAlignment="1">
      <alignment vertical="center" wrapText="1"/>
    </xf>
    <xf numFmtId="44" fontId="19" fillId="0" borderId="0" xfId="2" applyFont="1" applyAlignment="1">
      <alignment vertical="center" wrapText="1"/>
    </xf>
    <xf numFmtId="0" fontId="31" fillId="0" borderId="0" xfId="0" applyFont="1"/>
    <xf numFmtId="49" fontId="33" fillId="0" borderId="1" xfId="0" applyNumberFormat="1" applyFont="1" applyFill="1" applyBorder="1" applyAlignment="1">
      <alignment horizontal="left" vertical="center" wrapText="1"/>
    </xf>
    <xf numFmtId="9" fontId="34" fillId="0" borderId="1" xfId="3" applyFont="1" applyFill="1" applyBorder="1" applyAlignment="1">
      <alignment vertical="center" wrapText="1"/>
    </xf>
    <xf numFmtId="10" fontId="33" fillId="6" borderId="1" xfId="0" applyNumberFormat="1" applyFont="1" applyFill="1" applyBorder="1" applyAlignment="1">
      <alignment vertical="center" wrapText="1"/>
    </xf>
    <xf numFmtId="10" fontId="33" fillId="0" borderId="1" xfId="3" applyNumberFormat="1" applyFont="1" applyFill="1" applyBorder="1" applyAlignment="1">
      <alignment vertical="center" wrapText="1"/>
    </xf>
    <xf numFmtId="0" fontId="35" fillId="0" borderId="0" xfId="0" applyFont="1"/>
    <xf numFmtId="44" fontId="34" fillId="0" borderId="1" xfId="2" applyFont="1" applyFill="1" applyBorder="1" applyAlignment="1">
      <alignment vertical="center" wrapText="1"/>
    </xf>
    <xf numFmtId="0" fontId="7" fillId="0" borderId="0" xfId="0" applyFont="1" applyFill="1" applyAlignment="1">
      <alignment vertical="center"/>
    </xf>
    <xf numFmtId="164" fontId="7" fillId="0" borderId="0" xfId="1" applyNumberFormat="1"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43" fontId="9" fillId="0" borderId="0" xfId="1" applyFont="1" applyFill="1" applyBorder="1" applyAlignment="1">
      <alignment horizontal="left" vertical="center" wrapText="1"/>
    </xf>
    <xf numFmtId="0" fontId="7" fillId="6" borderId="1" xfId="0" applyFont="1" applyFill="1" applyBorder="1" applyAlignment="1">
      <alignment horizontal="center" vertical="center"/>
    </xf>
    <xf numFmtId="0" fontId="7" fillId="0" borderId="0" xfId="0" applyFont="1" applyFill="1" applyBorder="1" applyAlignment="1">
      <alignment horizontal="left" vertical="center"/>
    </xf>
    <xf numFmtId="44" fontId="7" fillId="0" borderId="1" xfId="2" applyFont="1" applyFill="1" applyBorder="1" applyAlignment="1">
      <alignment horizontal="center" vertical="center" wrapText="1"/>
    </xf>
    <xf numFmtId="44" fontId="9" fillId="0" borderId="1" xfId="2" applyFont="1" applyFill="1" applyBorder="1" applyAlignment="1">
      <alignment horizontal="center" vertical="center" wrapText="1"/>
    </xf>
    <xf numFmtId="0" fontId="18" fillId="0" borderId="0" xfId="0" applyFont="1" applyFill="1" applyBorder="1" applyAlignment="1">
      <alignment vertical="center" wrapText="1"/>
    </xf>
    <xf numFmtId="0" fontId="18" fillId="4" borderId="0" xfId="0" applyFont="1" applyFill="1" applyAlignment="1">
      <alignment vertical="center"/>
    </xf>
    <xf numFmtId="0" fontId="17" fillId="0" borderId="0" xfId="0" applyFont="1" applyFill="1" applyAlignment="1">
      <alignment horizontal="left" vertical="center" wrapText="1"/>
    </xf>
    <xf numFmtId="10" fontId="7" fillId="0" borderId="0" xfId="1" applyNumberFormat="1" applyFont="1" applyFill="1" applyBorder="1" applyAlignment="1">
      <alignment horizontal="left" vertical="center" wrapText="1"/>
    </xf>
    <xf numFmtId="0" fontId="19" fillId="0" borderId="11" xfId="0" applyFont="1" applyFill="1" applyBorder="1" applyAlignment="1">
      <alignment horizontal="left" vertical="center" wrapText="1"/>
    </xf>
    <xf numFmtId="0" fontId="19" fillId="0" borderId="13" xfId="0" applyFont="1" applyFill="1" applyBorder="1" applyAlignment="1">
      <alignment horizontal="left" vertical="center" wrapText="1"/>
    </xf>
    <xf numFmtId="0" fontId="19" fillId="2" borderId="15" xfId="0" applyFont="1" applyFill="1" applyBorder="1" applyAlignment="1">
      <alignment horizontal="left" vertical="center" wrapText="1"/>
    </xf>
    <xf numFmtId="0" fontId="19" fillId="2" borderId="16" xfId="0" applyFont="1" applyFill="1" applyBorder="1" applyAlignment="1">
      <alignment horizontal="left" vertical="center" wrapText="1"/>
    </xf>
    <xf numFmtId="0" fontId="19" fillId="0" borderId="16" xfId="0" applyFont="1" applyFill="1" applyBorder="1" applyAlignment="1">
      <alignment horizontal="left" vertical="center" wrapText="1"/>
    </xf>
    <xf numFmtId="0" fontId="21" fillId="0" borderId="0" xfId="0" applyFont="1" applyAlignment="1">
      <alignment horizontal="left" vertical="center" wrapText="1"/>
    </xf>
    <xf numFmtId="10" fontId="32" fillId="0" borderId="1" xfId="3" applyNumberFormat="1" applyFont="1" applyFill="1" applyBorder="1" applyAlignment="1">
      <alignment vertical="center" wrapText="1"/>
    </xf>
    <xf numFmtId="0" fontId="29" fillId="0" borderId="0" xfId="0" applyFont="1"/>
    <xf numFmtId="49" fontId="18" fillId="0" borderId="0" xfId="0" applyNumberFormat="1" applyFont="1" applyFill="1" applyBorder="1" applyAlignment="1">
      <alignment horizontal="center" vertical="center" wrapText="1"/>
    </xf>
    <xf numFmtId="49" fontId="18" fillId="0" borderId="0" xfId="0" applyNumberFormat="1" applyFont="1" applyFill="1" applyBorder="1" applyAlignment="1">
      <alignment horizontal="left" vertical="center" wrapText="1"/>
    </xf>
    <xf numFmtId="49" fontId="19" fillId="0" borderId="1" xfId="0" applyNumberFormat="1" applyFont="1" applyFill="1" applyBorder="1" applyAlignment="1">
      <alignment horizontal="center" vertical="center" wrapText="1"/>
    </xf>
    <xf numFmtId="49" fontId="19" fillId="0" borderId="1" xfId="0" applyNumberFormat="1" applyFont="1" applyFill="1" applyBorder="1" applyAlignment="1">
      <alignment horizontal="left" vertical="center" wrapText="1"/>
    </xf>
    <xf numFmtId="49" fontId="18" fillId="0" borderId="1" xfId="0" applyNumberFormat="1" applyFont="1" applyFill="1" applyBorder="1" applyAlignment="1">
      <alignment horizontal="center" vertical="center" wrapText="1"/>
    </xf>
    <xf numFmtId="49" fontId="19" fillId="0" borderId="1" xfId="0" applyNumberFormat="1" applyFont="1" applyFill="1" applyBorder="1" applyAlignment="1">
      <alignment vertical="center"/>
    </xf>
    <xf numFmtId="49" fontId="19" fillId="0" borderId="1" xfId="0" applyNumberFormat="1" applyFont="1" applyFill="1" applyBorder="1" applyAlignment="1">
      <alignment vertical="center" wrapText="1"/>
    </xf>
    <xf numFmtId="49" fontId="18" fillId="0" borderId="1" xfId="0" applyNumberFormat="1" applyFont="1" applyFill="1" applyBorder="1" applyAlignment="1">
      <alignment vertical="center"/>
    </xf>
    <xf numFmtId="49" fontId="18" fillId="0" borderId="1" xfId="0" applyNumberFormat="1" applyFont="1" applyFill="1" applyBorder="1" applyAlignment="1">
      <alignment vertical="center" wrapText="1"/>
    </xf>
    <xf numFmtId="0" fontId="9" fillId="0" borderId="0" xfId="0" applyFont="1" applyFill="1" applyBorder="1" applyAlignment="1">
      <alignment horizontal="left" vertical="center" wrapText="1"/>
    </xf>
    <xf numFmtId="164" fontId="10" fillId="0" borderId="0" xfId="1" applyNumberFormat="1" applyFont="1" applyFill="1" applyBorder="1" applyAlignment="1">
      <alignment horizontal="left" vertical="center" wrapText="1"/>
    </xf>
    <xf numFmtId="44" fontId="7" fillId="5" borderId="1" xfId="2" applyFont="1" applyFill="1" applyBorder="1" applyAlignment="1">
      <alignment horizontal="center" vertical="center" wrapText="1"/>
    </xf>
    <xf numFmtId="44" fontId="7" fillId="3" borderId="1" xfId="2" applyFont="1" applyFill="1" applyBorder="1" applyAlignment="1">
      <alignment horizontal="center"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43" fontId="9" fillId="0" borderId="1" xfId="1"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43" fontId="7" fillId="3" borderId="1" xfId="1"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43" fontId="7" fillId="4" borderId="1" xfId="1" applyFont="1" applyFill="1" applyBorder="1" applyAlignment="1">
      <alignment horizontal="center" vertical="center" wrapText="1"/>
    </xf>
    <xf numFmtId="0" fontId="19" fillId="0" borderId="11" xfId="0" applyFont="1" applyFill="1" applyBorder="1" applyAlignment="1">
      <alignment horizontal="center" vertical="center" wrapText="1"/>
    </xf>
    <xf numFmtId="49" fontId="18" fillId="0" borderId="1" xfId="0" applyNumberFormat="1" applyFont="1" applyFill="1" applyBorder="1" applyAlignment="1">
      <alignment horizontal="left" vertical="center" wrapText="1"/>
    </xf>
    <xf numFmtId="43" fontId="11" fillId="0" borderId="0" xfId="1" applyFont="1" applyFill="1" applyBorder="1" applyAlignment="1">
      <alignment horizontal="center" vertical="center" wrapText="1"/>
    </xf>
    <xf numFmtId="43" fontId="10" fillId="0" borderId="0" xfId="1" applyFont="1" applyFill="1" applyBorder="1" applyAlignment="1">
      <alignment vertical="center" wrapText="1"/>
    </xf>
    <xf numFmtId="43" fontId="10" fillId="0" borderId="0" xfId="1" applyFont="1" applyFill="1" applyBorder="1" applyAlignment="1">
      <alignment horizontal="center" vertical="center" wrapText="1"/>
    </xf>
    <xf numFmtId="43" fontId="19" fillId="0" borderId="1" xfId="1" applyFont="1" applyFill="1" applyBorder="1" applyAlignment="1">
      <alignment horizontal="center" vertical="center"/>
    </xf>
    <xf numFmtId="44" fontId="11" fillId="0" borderId="0" xfId="2" applyFont="1" applyFill="1" applyBorder="1" applyAlignment="1">
      <alignment horizontal="left" vertical="center" wrapText="1"/>
    </xf>
    <xf numFmtId="44" fontId="10" fillId="0" borderId="0" xfId="2" applyFont="1" applyFill="1" applyBorder="1" applyAlignment="1">
      <alignment horizontal="left" vertical="center" wrapText="1"/>
    </xf>
    <xf numFmtId="44" fontId="7" fillId="7" borderId="1" xfId="2" applyFont="1" applyFill="1" applyBorder="1" applyAlignment="1">
      <alignment horizontal="center" vertical="center"/>
    </xf>
    <xf numFmtId="44" fontId="19" fillId="0" borderId="1" xfId="2" applyFont="1" applyFill="1" applyBorder="1" applyAlignment="1">
      <alignment vertical="center"/>
    </xf>
    <xf numFmtId="44" fontId="19" fillId="0" borderId="1" xfId="2" applyFont="1" applyFill="1" applyBorder="1" applyAlignment="1">
      <alignment horizontal="center" vertical="center"/>
    </xf>
    <xf numFmtId="44" fontId="18" fillId="0" borderId="0" xfId="2" applyFont="1" applyAlignment="1">
      <alignment vertical="center"/>
    </xf>
    <xf numFmtId="0" fontId="28" fillId="0" borderId="0" xfId="0" applyFont="1" applyFill="1" applyBorder="1" applyAlignment="1">
      <alignment horizontal="left" vertical="center" wrapText="1"/>
    </xf>
    <xf numFmtId="0" fontId="7"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7" fillId="5" borderId="1" xfId="0" applyFont="1" applyFill="1" applyBorder="1" applyAlignment="1">
      <alignment vertical="center" wrapText="1"/>
    </xf>
    <xf numFmtId="43" fontId="7" fillId="5" borderId="1" xfId="1" applyFont="1" applyFill="1" applyBorder="1" applyAlignment="1">
      <alignment vertical="center" wrapText="1"/>
    </xf>
    <xf numFmtId="44" fontId="7" fillId="5" borderId="1" xfId="2" applyFont="1" applyFill="1" applyBorder="1" applyAlignment="1">
      <alignment vertical="center" wrapText="1"/>
    </xf>
    <xf numFmtId="0" fontId="7" fillId="3" borderId="1" xfId="0" applyFont="1" applyFill="1" applyBorder="1" applyAlignment="1">
      <alignment horizontal="center" vertical="center"/>
    </xf>
    <xf numFmtId="0" fontId="7" fillId="3" borderId="1" xfId="0" applyFont="1" applyFill="1" applyBorder="1" applyAlignment="1">
      <alignment vertical="center" wrapText="1"/>
    </xf>
    <xf numFmtId="43" fontId="7" fillId="3" borderId="1" xfId="1" applyFont="1" applyFill="1" applyBorder="1" applyAlignment="1">
      <alignment vertical="center" wrapText="1"/>
    </xf>
    <xf numFmtId="44" fontId="7" fillId="3" borderId="1" xfId="2" applyFont="1" applyFill="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wrapText="1"/>
    </xf>
    <xf numFmtId="43" fontId="9" fillId="0" borderId="1" xfId="1" applyFont="1" applyFill="1" applyBorder="1" applyAlignment="1">
      <alignment vertical="center" wrapText="1"/>
    </xf>
    <xf numFmtId="44" fontId="9" fillId="0" borderId="1" xfId="2" applyFont="1" applyFill="1" applyBorder="1" applyAlignment="1">
      <alignment vertical="center" wrapText="1"/>
    </xf>
    <xf numFmtId="0" fontId="9" fillId="0" borderId="0" xfId="0" applyFont="1" applyFill="1" applyBorder="1" applyAlignment="1">
      <alignment vertical="center" wrapText="1"/>
    </xf>
    <xf numFmtId="43" fontId="9" fillId="0" borderId="0" xfId="1" applyFont="1" applyFill="1" applyBorder="1" applyAlignment="1">
      <alignment vertical="center" wrapText="1"/>
    </xf>
    <xf numFmtId="0" fontId="9" fillId="0" borderId="0" xfId="0" applyFont="1" applyAlignment="1">
      <alignment vertical="center"/>
    </xf>
    <xf numFmtId="0" fontId="9" fillId="0" borderId="22" xfId="0" applyFont="1" applyFill="1" applyBorder="1" applyAlignment="1">
      <alignment horizontal="center" vertical="center"/>
    </xf>
    <xf numFmtId="0" fontId="9" fillId="0" borderId="22" xfId="0" applyFont="1" applyFill="1" applyBorder="1" applyAlignment="1">
      <alignment horizontal="center" vertical="center" wrapText="1"/>
    </xf>
    <xf numFmtId="0" fontId="9" fillId="0" borderId="22" xfId="0" applyFont="1" applyFill="1" applyBorder="1" applyAlignment="1">
      <alignment vertical="center" wrapText="1"/>
    </xf>
    <xf numFmtId="43" fontId="9" fillId="0" borderId="22" xfId="1" applyFont="1" applyFill="1" applyBorder="1" applyAlignment="1">
      <alignment vertical="center" wrapText="1"/>
    </xf>
    <xf numFmtId="44" fontId="9" fillId="0" borderId="22" xfId="2" applyFont="1" applyFill="1" applyBorder="1" applyAlignment="1">
      <alignment vertical="center" wrapText="1"/>
    </xf>
    <xf numFmtId="0" fontId="10" fillId="0" borderId="0" xfId="0" applyFont="1" applyFill="1" applyBorder="1" applyAlignment="1">
      <alignment horizontal="left" vertical="center"/>
    </xf>
    <xf numFmtId="49"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xf>
    <xf numFmtId="49" fontId="7" fillId="4" borderId="1" xfId="1" applyNumberFormat="1" applyFont="1" applyFill="1" applyBorder="1" applyAlignment="1">
      <alignment horizontal="left" vertical="center" wrapText="1"/>
    </xf>
    <xf numFmtId="49" fontId="7" fillId="3"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28" fillId="0" borderId="0" xfId="0" applyFont="1" applyFill="1" applyBorder="1" applyAlignment="1">
      <alignment horizontal="left" vertical="center"/>
    </xf>
    <xf numFmtId="49" fontId="9" fillId="0" borderId="0" xfId="0" applyNumberFormat="1" applyFont="1" applyFill="1" applyBorder="1" applyAlignment="1">
      <alignment horizontal="center" vertical="center" wrapText="1"/>
    </xf>
    <xf numFmtId="49" fontId="9" fillId="0" borderId="0" xfId="0" applyNumberFormat="1" applyFont="1" applyFill="1" applyBorder="1" applyAlignment="1">
      <alignment horizontal="center" vertical="center"/>
    </xf>
    <xf numFmtId="166" fontId="18" fillId="0" borderId="30" xfId="0" applyNumberFormat="1" applyFont="1" applyFill="1" applyBorder="1" applyAlignment="1">
      <alignment vertical="center" wrapText="1"/>
    </xf>
    <xf numFmtId="44" fontId="22" fillId="0" borderId="0" xfId="0" applyNumberFormat="1" applyFont="1"/>
    <xf numFmtId="10" fontId="18" fillId="6" borderId="6" xfId="0" applyNumberFormat="1" applyFont="1" applyFill="1" applyBorder="1" applyAlignment="1">
      <alignment vertical="center" wrapText="1"/>
    </xf>
    <xf numFmtId="0" fontId="3" fillId="0" borderId="1" xfId="0" applyFont="1" applyBorder="1" applyAlignment="1">
      <alignment horizontal="left" vertical="top" wrapText="1"/>
    </xf>
    <xf numFmtId="43" fontId="3" fillId="0" borderId="1" xfId="1" applyFont="1" applyBorder="1" applyAlignment="1">
      <alignment horizontal="center" vertical="center" wrapText="1"/>
    </xf>
    <xf numFmtId="0" fontId="39" fillId="0" borderId="1" xfId="0" applyFont="1" applyBorder="1" applyAlignment="1">
      <alignment horizontal="center" vertical="center" wrapText="1"/>
    </xf>
    <xf numFmtId="0" fontId="39" fillId="0" borderId="1" xfId="0" applyFont="1" applyBorder="1" applyAlignment="1">
      <alignment horizontal="left" vertical="top" wrapText="1"/>
    </xf>
    <xf numFmtId="43" fontId="39" fillId="0" borderId="1" xfId="1" applyFont="1" applyBorder="1" applyAlignment="1">
      <alignment vertical="center"/>
    </xf>
    <xf numFmtId="43" fontId="3" fillId="0" borderId="1" xfId="1" applyFont="1" applyBorder="1" applyAlignment="1">
      <alignment vertical="center"/>
    </xf>
    <xf numFmtId="0" fontId="3" fillId="0" borderId="1" xfId="0" applyFont="1" applyBorder="1" applyAlignment="1">
      <alignment vertical="center"/>
    </xf>
    <xf numFmtId="43" fontId="3" fillId="0" borderId="1" xfId="1" applyFont="1" applyBorder="1" applyAlignment="1">
      <alignment horizontal="center" vertical="center"/>
    </xf>
    <xf numFmtId="0" fontId="3" fillId="0" borderId="1" xfId="0" applyFont="1" applyBorder="1" applyAlignment="1">
      <alignment horizontal="center" vertical="center"/>
    </xf>
    <xf numFmtId="0" fontId="39" fillId="0" borderId="1" xfId="1" applyNumberFormat="1" applyFont="1" applyBorder="1" applyAlignment="1">
      <alignment vertical="center"/>
    </xf>
    <xf numFmtId="43" fontId="39" fillId="0" borderId="1" xfId="1" quotePrefix="1" applyFont="1" applyBorder="1" applyAlignment="1">
      <alignment vertical="center"/>
    </xf>
    <xf numFmtId="43" fontId="5" fillId="0" borderId="1" xfId="1" applyFont="1" applyBorder="1" applyAlignment="1">
      <alignment vertical="center"/>
    </xf>
    <xf numFmtId="43" fontId="3" fillId="0" borderId="0" xfId="1" applyFont="1" applyBorder="1" applyAlignment="1">
      <alignment horizontal="center" vertical="center"/>
    </xf>
    <xf numFmtId="43" fontId="3" fillId="0" borderId="0" xfId="1" applyFont="1" applyBorder="1" applyAlignment="1">
      <alignment vertical="center"/>
    </xf>
    <xf numFmtId="0" fontId="3" fillId="0" borderId="0" xfId="0" applyFont="1" applyBorder="1" applyAlignment="1">
      <alignment vertical="center"/>
    </xf>
    <xf numFmtId="0" fontId="5" fillId="0" borderId="0" xfId="0" applyFont="1" applyBorder="1" applyAlignment="1">
      <alignment vertical="center"/>
    </xf>
    <xf numFmtId="0" fontId="39" fillId="0" borderId="1" xfId="0" applyFont="1" applyBorder="1" applyAlignment="1">
      <alignment horizontal="center" vertical="center"/>
    </xf>
    <xf numFmtId="0" fontId="39" fillId="0" borderId="1" xfId="0" applyFont="1" applyBorder="1" applyAlignment="1">
      <alignment vertical="center" wrapText="1"/>
    </xf>
    <xf numFmtId="43" fontId="39" fillId="0" borderId="1" xfId="1" applyFont="1" applyFill="1" applyBorder="1" applyAlignment="1">
      <alignment vertical="center"/>
    </xf>
    <xf numFmtId="0" fontId="3" fillId="0" borderId="1" xfId="0" applyFont="1" applyFill="1" applyBorder="1" applyAlignment="1">
      <alignment horizontal="center" vertical="center"/>
    </xf>
    <xf numFmtId="43" fontId="5" fillId="0" borderId="0" xfId="1" applyFont="1" applyFill="1" applyBorder="1" applyAlignment="1">
      <alignment horizontal="center" vertical="center"/>
    </xf>
    <xf numFmtId="0" fontId="5" fillId="0" borderId="1" xfId="0" applyFont="1" applyBorder="1" applyAlignment="1">
      <alignment horizontal="center" vertical="center"/>
    </xf>
    <xf numFmtId="43" fontId="39" fillId="0" borderId="0" xfId="1" applyFont="1" applyFill="1" applyBorder="1" applyAlignment="1">
      <alignment vertical="center"/>
    </xf>
    <xf numFmtId="43" fontId="40" fillId="0" borderId="0" xfId="1" applyFont="1" applyFill="1" applyBorder="1" applyAlignment="1">
      <alignment vertical="center"/>
    </xf>
    <xf numFmtId="0" fontId="3" fillId="0" borderId="0" xfId="0" applyFont="1" applyBorder="1" applyAlignment="1">
      <alignment vertical="center" wrapText="1"/>
    </xf>
    <xf numFmtId="0" fontId="3" fillId="0" borderId="0" xfId="0" applyFont="1" applyBorder="1" applyAlignment="1">
      <alignment horizontal="center" vertical="center" wrapText="1"/>
    </xf>
    <xf numFmtId="0" fontId="5" fillId="0" borderId="21" xfId="0" applyFont="1" applyBorder="1" applyAlignment="1">
      <alignment vertical="center"/>
    </xf>
    <xf numFmtId="0" fontId="5" fillId="0" borderId="18" xfId="0" applyFont="1" applyBorder="1" applyAlignment="1">
      <alignment vertical="center"/>
    </xf>
    <xf numFmtId="0" fontId="41" fillId="0" borderId="0" xfId="0" applyFont="1" applyBorder="1" applyAlignment="1">
      <alignment vertical="center"/>
    </xf>
    <xf numFmtId="0" fontId="5" fillId="0" borderId="1" xfId="0" applyFont="1" applyBorder="1" applyAlignment="1">
      <alignment horizontal="center" vertical="center" textRotation="90" wrapText="1"/>
    </xf>
    <xf numFmtId="43" fontId="5" fillId="0" borderId="1" xfId="1" applyFont="1" applyBorder="1" applyAlignment="1">
      <alignment horizontal="center" vertical="center" textRotation="90" wrapText="1"/>
    </xf>
    <xf numFmtId="0" fontId="5" fillId="0" borderId="0" xfId="0" applyFont="1" applyFill="1" applyBorder="1" applyAlignment="1">
      <alignment horizontal="center" vertical="center" wrapText="1"/>
    </xf>
    <xf numFmtId="0" fontId="41" fillId="0" borderId="1" xfId="0" applyFont="1" applyBorder="1" applyAlignment="1">
      <alignment horizontal="center" vertical="center" wrapText="1"/>
    </xf>
    <xf numFmtId="0" fontId="3" fillId="0" borderId="1" xfId="0" applyFont="1" applyFill="1" applyBorder="1" applyAlignment="1">
      <alignment vertical="center" wrapText="1"/>
    </xf>
    <xf numFmtId="0" fontId="41" fillId="0" borderId="0" xfId="0" applyFont="1" applyFill="1" applyBorder="1" applyAlignment="1">
      <alignment horizontal="center" vertical="center" wrapText="1"/>
    </xf>
    <xf numFmtId="0" fontId="41" fillId="0" borderId="0" xfId="0" applyFont="1" applyBorder="1" applyAlignment="1">
      <alignment horizontal="center" vertical="center" wrapText="1"/>
    </xf>
    <xf numFmtId="0" fontId="39" fillId="0" borderId="1" xfId="0" applyFont="1" applyFill="1" applyBorder="1" applyAlignment="1">
      <alignment vertical="center" wrapText="1"/>
    </xf>
    <xf numFmtId="0" fontId="39" fillId="0" borderId="0" xfId="0" applyFont="1" applyFill="1" applyBorder="1" applyAlignment="1">
      <alignment vertical="center" wrapText="1"/>
    </xf>
    <xf numFmtId="43" fontId="41" fillId="0" borderId="0" xfId="1" applyFont="1" applyBorder="1" applyAlignment="1">
      <alignment horizontal="center" vertical="center"/>
    </xf>
    <xf numFmtId="0" fontId="40" fillId="0" borderId="0" xfId="0" applyFont="1" applyFill="1" applyBorder="1" applyAlignment="1">
      <alignment vertical="center" wrapText="1"/>
    </xf>
    <xf numFmtId="43" fontId="41" fillId="0" borderId="1" xfId="1" applyFont="1" applyBorder="1" applyAlignment="1">
      <alignment vertical="center"/>
    </xf>
    <xf numFmtId="0" fontId="41" fillId="0" borderId="1" xfId="0" applyFont="1" applyBorder="1" applyAlignment="1">
      <alignment vertical="center"/>
    </xf>
    <xf numFmtId="0" fontId="3" fillId="0" borderId="0" xfId="0" applyFont="1" applyFill="1" applyBorder="1" applyAlignment="1">
      <alignment vertical="center" wrapText="1"/>
    </xf>
    <xf numFmtId="0" fontId="41" fillId="0" borderId="0" xfId="0" applyFont="1" applyFill="1" applyBorder="1" applyAlignment="1">
      <alignment horizontal="center" vertical="center"/>
    </xf>
    <xf numFmtId="0" fontId="41" fillId="0" borderId="0" xfId="0" applyFont="1" applyBorder="1" applyAlignment="1">
      <alignment horizontal="center" vertical="center"/>
    </xf>
    <xf numFmtId="43" fontId="41" fillId="0" borderId="0" xfId="1" applyFont="1" applyBorder="1" applyAlignment="1">
      <alignment vertical="center"/>
    </xf>
    <xf numFmtId="43" fontId="41" fillId="0" borderId="0" xfId="1" applyFont="1" applyFill="1" applyBorder="1" applyAlignment="1">
      <alignment vertical="center"/>
    </xf>
    <xf numFmtId="0" fontId="41" fillId="0" borderId="0" xfId="0" applyFont="1" applyBorder="1" applyAlignment="1">
      <alignment vertical="center" wrapText="1"/>
    </xf>
    <xf numFmtId="168" fontId="40" fillId="3" borderId="1" xfId="0" applyNumberFormat="1" applyFont="1" applyFill="1" applyBorder="1" applyAlignment="1">
      <alignment horizontal="left" vertical="center"/>
    </xf>
    <xf numFmtId="43" fontId="40" fillId="3" borderId="1" xfId="1" applyFont="1" applyFill="1" applyBorder="1" applyAlignment="1">
      <alignment vertical="center"/>
    </xf>
    <xf numFmtId="0" fontId="9" fillId="0" borderId="0" xfId="0" applyFont="1" applyFill="1" applyBorder="1" applyAlignment="1">
      <alignment horizontal="left" vertical="center" wrapText="1"/>
    </xf>
    <xf numFmtId="0" fontId="37" fillId="0" borderId="27" xfId="0" applyFont="1" applyFill="1" applyBorder="1" applyAlignment="1">
      <alignment horizontal="center" vertical="center" wrapText="1"/>
    </xf>
    <xf numFmtId="0" fontId="37" fillId="0" borderId="25" xfId="0" applyFont="1" applyFill="1" applyBorder="1" applyAlignment="1">
      <alignment vertical="center" wrapText="1"/>
    </xf>
    <xf numFmtId="0" fontId="18" fillId="0" borderId="0" xfId="0" applyFont="1" applyFill="1" applyAlignment="1">
      <alignment vertical="center"/>
    </xf>
    <xf numFmtId="0" fontId="36" fillId="0" borderId="28" xfId="0" applyFont="1" applyFill="1" applyBorder="1" applyAlignment="1">
      <alignment horizontal="center" vertical="center" wrapText="1"/>
    </xf>
    <xf numFmtId="0" fontId="36" fillId="0" borderId="20" xfId="0" applyFont="1" applyFill="1" applyBorder="1" applyAlignment="1">
      <alignment vertical="center" wrapText="1"/>
    </xf>
    <xf numFmtId="0" fontId="36" fillId="0" borderId="27" xfId="0" applyFont="1" applyFill="1" applyBorder="1" applyAlignment="1">
      <alignment horizontal="center" vertical="center" wrapText="1"/>
    </xf>
    <xf numFmtId="0" fontId="36" fillId="0" borderId="25" xfId="0" applyFont="1" applyFill="1" applyBorder="1" applyAlignment="1">
      <alignment vertical="center" wrapText="1"/>
    </xf>
    <xf numFmtId="0" fontId="19" fillId="0" borderId="0" xfId="0" applyFont="1" applyFill="1" applyAlignment="1">
      <alignment vertical="center"/>
    </xf>
    <xf numFmtId="0" fontId="36" fillId="0" borderId="29" xfId="0" applyFont="1" applyFill="1" applyBorder="1" applyAlignment="1">
      <alignment vertical="center"/>
    </xf>
    <xf numFmtId="0" fontId="37" fillId="0" borderId="23" xfId="0" applyFont="1" applyFill="1" applyBorder="1" applyAlignment="1">
      <alignment vertical="center" wrapText="1"/>
    </xf>
    <xf numFmtId="0" fontId="36" fillId="0" borderId="26" xfId="0" applyFont="1" applyFill="1" applyBorder="1" applyAlignment="1">
      <alignment vertical="center"/>
    </xf>
    <xf numFmtId="0" fontId="18" fillId="0" borderId="24" xfId="0" applyFont="1" applyFill="1" applyBorder="1" applyAlignment="1">
      <alignment horizontal="center" vertical="center"/>
    </xf>
    <xf numFmtId="0" fontId="21" fillId="0" borderId="25" xfId="0" applyFont="1" applyFill="1" applyBorder="1" applyAlignment="1">
      <alignment horizontal="left" vertical="center" wrapText="1"/>
    </xf>
    <xf numFmtId="0" fontId="18" fillId="0" borderId="0" xfId="0" applyFont="1" applyFill="1" applyBorder="1" applyAlignment="1">
      <alignment horizontal="center" vertical="center"/>
    </xf>
    <xf numFmtId="0" fontId="21" fillId="0" borderId="0" xfId="0" applyFont="1" applyFill="1" applyBorder="1" applyAlignment="1">
      <alignment horizontal="left" vertical="center" wrapText="1"/>
    </xf>
    <xf numFmtId="49" fontId="9" fillId="0" borderId="0" xfId="1" applyNumberFormat="1" applyFont="1" applyFill="1" applyBorder="1" applyAlignment="1">
      <alignment horizontal="left" vertical="center" wrapText="1"/>
    </xf>
    <xf numFmtId="49" fontId="18" fillId="0" borderId="0" xfId="0" applyNumberFormat="1" applyFont="1" applyFill="1" applyBorder="1" applyAlignment="1">
      <alignment vertical="center"/>
    </xf>
    <xf numFmtId="49" fontId="18" fillId="0" borderId="0" xfId="0" applyNumberFormat="1" applyFont="1" applyFill="1" applyBorder="1" applyAlignment="1">
      <alignment vertical="center" wrapText="1"/>
    </xf>
    <xf numFmtId="43" fontId="18" fillId="0" borderId="0" xfId="1" applyFont="1" applyFill="1" applyBorder="1" applyAlignment="1">
      <alignment vertical="center" wrapText="1"/>
    </xf>
    <xf numFmtId="44" fontId="18" fillId="0" borderId="0" xfId="2" applyFont="1" applyFill="1" applyBorder="1" applyAlignment="1">
      <alignment vertical="center"/>
    </xf>
    <xf numFmtId="49" fontId="42" fillId="0" borderId="0" xfId="0" applyNumberFormat="1" applyFont="1" applyFill="1" applyBorder="1" applyAlignment="1">
      <alignment vertical="center"/>
    </xf>
    <xf numFmtId="49" fontId="42" fillId="0" borderId="0" xfId="0" applyNumberFormat="1" applyFont="1" applyFill="1" applyBorder="1" applyAlignment="1">
      <alignment vertical="center" wrapText="1"/>
    </xf>
    <xf numFmtId="49" fontId="42" fillId="0" borderId="0" xfId="0" applyNumberFormat="1" applyFont="1" applyFill="1" applyBorder="1" applyAlignment="1">
      <alignment horizontal="left" vertical="center" wrapText="1"/>
    </xf>
    <xf numFmtId="49" fontId="42" fillId="0" borderId="0" xfId="0" applyNumberFormat="1" applyFont="1" applyFill="1" applyBorder="1" applyAlignment="1">
      <alignment horizontal="center" vertical="center" wrapText="1"/>
    </xf>
    <xf numFmtId="43" fontId="42" fillId="0" borderId="0" xfId="1" applyFont="1" applyFill="1" applyBorder="1" applyAlignment="1">
      <alignment vertical="center" wrapText="1"/>
    </xf>
    <xf numFmtId="44" fontId="42" fillId="0" borderId="0" xfId="2" applyFont="1" applyFill="1" applyBorder="1" applyAlignment="1">
      <alignment vertical="center"/>
    </xf>
    <xf numFmtId="0" fontId="42" fillId="0" borderId="0" xfId="0" applyFont="1" applyAlignment="1">
      <alignment vertical="center"/>
    </xf>
    <xf numFmtId="0" fontId="42" fillId="0" borderId="0" xfId="0" applyFont="1" applyAlignment="1">
      <alignment horizontal="center" vertical="center"/>
    </xf>
    <xf numFmtId="0" fontId="42" fillId="0" borderId="0" xfId="0" applyFont="1" applyAlignment="1">
      <alignment horizontal="left" vertical="center" wrapText="1"/>
    </xf>
    <xf numFmtId="0" fontId="42" fillId="0" borderId="0" xfId="0" applyFont="1" applyAlignment="1">
      <alignment horizontal="center" vertical="center" wrapText="1"/>
    </xf>
    <xf numFmtId="43" fontId="42" fillId="0" borderId="0" xfId="1" applyFont="1" applyAlignment="1">
      <alignment vertical="center" wrapText="1"/>
    </xf>
    <xf numFmtId="44" fontId="42" fillId="0" borderId="0" xfId="2" applyFont="1" applyAlignment="1">
      <alignment vertical="center" wrapText="1"/>
    </xf>
    <xf numFmtId="44" fontId="42" fillId="0" borderId="0" xfId="0" applyNumberFormat="1" applyFont="1" applyAlignment="1">
      <alignment vertical="center"/>
    </xf>
    <xf numFmtId="43" fontId="42" fillId="0" borderId="0" xfId="1" applyFont="1" applyAlignment="1">
      <alignment vertical="center"/>
    </xf>
    <xf numFmtId="0" fontId="7" fillId="7" borderId="17" xfId="0" applyNumberFormat="1" applyFont="1" applyFill="1" applyBorder="1" applyAlignment="1">
      <alignment vertical="center"/>
    </xf>
    <xf numFmtId="0" fontId="7" fillId="7" borderId="21" xfId="0" applyNumberFormat="1" applyFont="1" applyFill="1" applyBorder="1" applyAlignment="1">
      <alignment vertical="center"/>
    </xf>
    <xf numFmtId="0" fontId="7" fillId="7" borderId="18" xfId="0" applyNumberFormat="1" applyFont="1" applyFill="1" applyBorder="1" applyAlignment="1">
      <alignment vertical="center"/>
    </xf>
    <xf numFmtId="0" fontId="18" fillId="0" borderId="0" xfId="0" applyFont="1" applyFill="1" applyBorder="1" applyAlignment="1">
      <alignment vertical="center"/>
    </xf>
    <xf numFmtId="0" fontId="38" fillId="0" borderId="0" xfId="0" applyFont="1" applyFill="1" applyBorder="1" applyAlignment="1">
      <alignment horizontal="left" vertical="top"/>
    </xf>
    <xf numFmtId="0" fontId="5" fillId="0" borderId="2" xfId="4" applyFont="1" applyFill="1" applyBorder="1" applyAlignment="1" applyProtection="1">
      <alignment horizontal="center" vertical="center"/>
    </xf>
    <xf numFmtId="0" fontId="9" fillId="0" borderId="2" xfId="4" applyFont="1" applyFill="1" applyBorder="1" applyAlignment="1" applyProtection="1">
      <alignment horizontal="left" wrapText="1"/>
    </xf>
    <xf numFmtId="10" fontId="9" fillId="0" borderId="2" xfId="4" applyNumberFormat="1" applyFont="1" applyFill="1" applyBorder="1" applyAlignment="1" applyProtection="1">
      <alignment horizontal="center"/>
      <protection locked="0"/>
    </xf>
    <xf numFmtId="0" fontId="9" fillId="0" borderId="2" xfId="4" applyFont="1" applyFill="1" applyBorder="1" applyAlignment="1" applyProtection="1">
      <alignment horizontal="left"/>
    </xf>
    <xf numFmtId="0" fontId="5" fillId="0" borderId="3" xfId="5" applyFont="1" applyFill="1" applyBorder="1" applyAlignment="1" applyProtection="1">
      <alignment horizontal="left" vertical="top"/>
    </xf>
    <xf numFmtId="165" fontId="9" fillId="0" borderId="4" xfId="6" applyFont="1" applyFill="1" applyBorder="1" applyAlignment="1" applyProtection="1">
      <alignment horizontal="left"/>
      <protection locked="0"/>
    </xf>
    <xf numFmtId="0" fontId="3" fillId="0" borderId="2" xfId="4" applyFont="1" applyFill="1" applyBorder="1" applyAlignment="1" applyProtection="1">
      <alignment horizontal="center" vertical="center" wrapText="1"/>
    </xf>
    <xf numFmtId="0" fontId="10" fillId="0" borderId="2" xfId="4" applyFont="1" applyFill="1" applyBorder="1" applyAlignment="1" applyProtection="1">
      <alignment horizontal="center" vertical="center"/>
    </xf>
    <xf numFmtId="4" fontId="10" fillId="0" borderId="2" xfId="4" applyNumberFormat="1" applyFont="1" applyFill="1" applyBorder="1" applyAlignment="1" applyProtection="1">
      <alignment horizontal="center" vertical="center" wrapText="1"/>
    </xf>
    <xf numFmtId="0" fontId="9" fillId="0" borderId="2" xfId="4" applyFont="1" applyFill="1" applyBorder="1" applyAlignment="1" applyProtection="1">
      <alignment horizontal="left" vertical="center" wrapText="1"/>
    </xf>
    <xf numFmtId="0" fontId="9" fillId="0" borderId="5" xfId="4" applyFont="1" applyBorder="1" applyAlignment="1" applyProtection="1">
      <alignment horizontal="left" vertical="center" wrapText="1"/>
    </xf>
    <xf numFmtId="43" fontId="4" fillId="4" borderId="0" xfId="1" applyFont="1" applyFill="1" applyBorder="1" applyAlignment="1">
      <alignment horizontal="center" vertical="center"/>
    </xf>
    <xf numFmtId="0" fontId="3" fillId="0" borderId="0" xfId="4" applyFont="1" applyFill="1" applyBorder="1" applyAlignment="1" applyProtection="1">
      <alignment horizontal="center" vertical="center"/>
    </xf>
    <xf numFmtId="0" fontId="12" fillId="0" borderId="0" xfId="0" applyFont="1" applyFill="1" applyBorder="1" applyAlignment="1" applyProtection="1">
      <alignment horizontal="right" vertical="center"/>
    </xf>
    <xf numFmtId="0" fontId="13" fillId="0" borderId="0" xfId="0" applyFont="1" applyFill="1" applyBorder="1" applyAlignment="1" applyProtection="1">
      <alignment horizontal="center"/>
    </xf>
    <xf numFmtId="0" fontId="12" fillId="0" borderId="0" xfId="0" applyFont="1" applyFill="1" applyBorder="1" applyAlignment="1" applyProtection="1">
      <alignment horizontal="left" vertical="center"/>
    </xf>
    <xf numFmtId="0" fontId="14" fillId="0" borderId="0" xfId="0" applyFont="1" applyFill="1" applyBorder="1" applyAlignment="1" applyProtection="1">
      <alignment horizontal="center" vertical="top"/>
    </xf>
    <xf numFmtId="0" fontId="9" fillId="0" borderId="0" xfId="0" applyFont="1" applyFill="1" applyBorder="1" applyAlignment="1">
      <alignment horizontal="left" vertical="center" wrapText="1"/>
    </xf>
    <xf numFmtId="43" fontId="4" fillId="3" borderId="10" xfId="1" applyFont="1" applyFill="1" applyBorder="1" applyAlignment="1">
      <alignment horizontal="center" vertical="center"/>
    </xf>
    <xf numFmtId="0" fontId="9" fillId="0" borderId="0" xfId="0" applyFont="1" applyFill="1" applyBorder="1" applyAlignment="1">
      <alignment horizontal="left" vertical="center"/>
    </xf>
    <xf numFmtId="43" fontId="9" fillId="0" borderId="0" xfId="1" applyFont="1" applyFill="1" applyBorder="1" applyAlignment="1">
      <alignment horizontal="left" vertical="center" wrapText="1"/>
    </xf>
    <xf numFmtId="43" fontId="4" fillId="4" borderId="0" xfId="1" applyFont="1" applyFill="1" applyBorder="1" applyAlignment="1">
      <alignment horizontal="center" vertical="top"/>
    </xf>
    <xf numFmtId="0" fontId="7" fillId="0" borderId="10" xfId="0" applyFont="1" applyFill="1" applyBorder="1" applyAlignment="1">
      <alignment horizontal="center" vertical="center" wrapText="1"/>
    </xf>
    <xf numFmtId="0" fontId="7" fillId="0" borderId="22" xfId="0" applyFont="1" applyFill="1" applyBorder="1" applyAlignment="1">
      <alignment horizontal="center" vertical="center" wrapText="1"/>
    </xf>
    <xf numFmtId="43" fontId="23" fillId="4" borderId="0" xfId="1" applyFont="1" applyFill="1" applyBorder="1" applyAlignment="1">
      <alignment horizontal="center" vertical="top"/>
    </xf>
    <xf numFmtId="0" fontId="10" fillId="0" borderId="0" xfId="0" applyFont="1" applyFill="1" applyBorder="1" applyAlignment="1">
      <alignment horizontal="left" vertical="center"/>
    </xf>
    <xf numFmtId="0" fontId="7" fillId="7"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7" borderId="1" xfId="0" applyNumberFormat="1" applyFont="1" applyFill="1" applyBorder="1" applyAlignment="1">
      <alignment horizontal="left" vertical="center" wrapText="1"/>
    </xf>
    <xf numFmtId="43" fontId="7" fillId="7" borderId="1" xfId="1" applyFont="1" applyFill="1" applyBorder="1" applyAlignment="1">
      <alignment horizontal="center" vertical="center"/>
    </xf>
    <xf numFmtId="44" fontId="7" fillId="7" borderId="1" xfId="2" applyFont="1" applyFill="1" applyBorder="1" applyAlignment="1">
      <alignment horizontal="center" vertical="center"/>
    </xf>
    <xf numFmtId="0" fontId="36" fillId="0" borderId="19" xfId="0" applyFont="1" applyFill="1" applyBorder="1" applyAlignment="1">
      <alignment horizontal="left" vertical="center" wrapText="1"/>
    </xf>
    <xf numFmtId="0" fontId="36" fillId="0" borderId="20" xfId="0" applyFont="1" applyFill="1" applyBorder="1" applyAlignment="1">
      <alignment horizontal="left" vertical="center" wrapText="1"/>
    </xf>
    <xf numFmtId="0" fontId="36" fillId="0" borderId="19" xfId="0" applyFont="1" applyBorder="1" applyAlignment="1">
      <alignment horizontal="left" vertical="center" wrapText="1"/>
    </xf>
    <xf numFmtId="0" fontId="36" fillId="0" borderId="20" xfId="0" applyFont="1" applyBorder="1" applyAlignment="1">
      <alignment horizontal="left" vertical="center" wrapText="1"/>
    </xf>
    <xf numFmtId="43" fontId="41" fillId="0" borderId="0" xfId="1" applyFont="1" applyBorder="1" applyAlignment="1">
      <alignment horizontal="center" vertical="center"/>
    </xf>
    <xf numFmtId="43" fontId="5" fillId="0" borderId="1" xfId="1" applyFont="1" applyBorder="1" applyAlignment="1">
      <alignment horizontal="center" vertical="center" wrapText="1"/>
    </xf>
    <xf numFmtId="0" fontId="5" fillId="0" borderId="17" xfId="0" applyFont="1" applyBorder="1" applyAlignment="1">
      <alignment horizontal="center" vertical="center"/>
    </xf>
    <xf numFmtId="0" fontId="5" fillId="0" borderId="21" xfId="0" applyFont="1" applyBorder="1" applyAlignment="1">
      <alignment horizontal="center" vertical="center"/>
    </xf>
    <xf numFmtId="0" fontId="5" fillId="0" borderId="18" xfId="0" applyFont="1" applyBorder="1" applyAlignment="1">
      <alignment horizontal="center" vertical="center"/>
    </xf>
    <xf numFmtId="0" fontId="5" fillId="0" borderId="1" xfId="0" applyFont="1" applyFill="1" applyBorder="1" applyAlignment="1">
      <alignment horizontal="center" vertical="center" wrapText="1"/>
    </xf>
    <xf numFmtId="0" fontId="40" fillId="3" borderId="1" xfId="0" applyFont="1" applyFill="1" applyBorder="1" applyAlignment="1">
      <alignment horizontal="left" vertical="center"/>
    </xf>
    <xf numFmtId="0" fontId="40" fillId="3" borderId="1" xfId="0" applyFont="1" applyFill="1" applyBorder="1" applyAlignment="1">
      <alignment horizontal="left" vertical="top"/>
    </xf>
    <xf numFmtId="0" fontId="41" fillId="0" borderId="0" xfId="0" applyFont="1" applyBorder="1" applyAlignment="1">
      <alignment horizontal="center" vertical="center"/>
    </xf>
    <xf numFmtId="0" fontId="3" fillId="0" borderId="0" xfId="0" applyFont="1" applyBorder="1" applyAlignment="1">
      <alignment horizontal="center" vertical="center" wrapText="1"/>
    </xf>
  </cellXfs>
  <cellStyles count="7">
    <cellStyle name="Moeda" xfId="2" builtinId="4"/>
    <cellStyle name="Moeda_Composicao BDI v2.1" xfId="6"/>
    <cellStyle name="Normal" xfId="0" builtinId="0"/>
    <cellStyle name="Normal 2" xfId="4"/>
    <cellStyle name="Normal_FICHA DE VERIFICAÇÃO PRELIMINAR - Plano R" xfId="5"/>
    <cellStyle name="Porcentagem" xfId="3" builtinId="5"/>
    <cellStyle name="Separador de milhares" xfId="1" builtinId="3"/>
  </cellStyles>
  <dxfs count="8">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ont>
        <b/>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ropbox\ALVES%20ENGENHARIA\AMASP\DELFIM%20MOREIRA\ESCOLAS\2024\SERT&#195;O%20PEQUENO\PLANILHA\DEFM_ESCOLA_REFORMA_PLANILHA%20MULTIPLA_R00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16">
          <cell r="O16" t="str">
            <v>1.</v>
          </cell>
        </row>
      </sheetData>
      <sheetData sheetId="5">
        <row r="16">
          <cell r="E16" t="str">
            <v>1.</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N38"/>
  <sheetViews>
    <sheetView view="pageBreakPreview" zoomScaleSheetLayoutView="100" workbookViewId="0">
      <selection sqref="A1:N1"/>
    </sheetView>
  </sheetViews>
  <sheetFormatPr defaultColWidth="8.85546875" defaultRowHeight="15"/>
  <cols>
    <col min="1" max="1" width="4.28515625" style="26" bestFit="1" customWidth="1"/>
    <col min="2" max="2" width="9.7109375" style="26" bestFit="1" customWidth="1"/>
    <col min="3" max="3" width="9.5703125" style="26" customWidth="1"/>
    <col min="4" max="4" width="22.42578125" style="26" customWidth="1"/>
    <col min="5" max="7" width="9.140625" style="26" customWidth="1"/>
    <col min="8" max="8" width="3.85546875" style="26" customWidth="1"/>
    <col min="9" max="9" width="7" style="26" bestFit="1" customWidth="1"/>
    <col min="10" max="10" width="8.85546875" style="26"/>
    <col min="11" max="11" width="2.28515625" style="26" customWidth="1"/>
    <col min="12" max="16384" width="8.85546875" style="26"/>
  </cols>
  <sheetData>
    <row r="1" spans="1:14" s="17" customFormat="1" ht="15.75">
      <c r="A1" s="343" t="s">
        <v>14</v>
      </c>
      <c r="B1" s="343"/>
      <c r="C1" s="343"/>
      <c r="D1" s="343"/>
      <c r="E1" s="343"/>
      <c r="F1" s="343"/>
      <c r="G1" s="343"/>
      <c r="H1" s="343"/>
      <c r="I1" s="343"/>
      <c r="J1" s="343"/>
      <c r="K1" s="343"/>
      <c r="L1" s="343"/>
      <c r="M1" s="343"/>
      <c r="N1" s="343"/>
    </row>
    <row r="2" spans="1:14" s="17" customFormat="1" ht="12.75">
      <c r="A2" s="1"/>
      <c r="B2" s="1"/>
      <c r="C2" s="2"/>
      <c r="D2" s="2"/>
      <c r="E2" s="18"/>
      <c r="F2" s="3"/>
      <c r="G2" s="6"/>
      <c r="H2" s="19"/>
      <c r="I2" s="19"/>
    </row>
    <row r="3" spans="1:14" s="17" customFormat="1" ht="12.75">
      <c r="B3" s="112" t="str">
        <f>'PLANILHA ORÇAMENTÁRIA'!A3</f>
        <v>MUNICÍPIO:</v>
      </c>
      <c r="C3" s="40" t="str">
        <f>'PLANILHA ORÇAMENTÁRIA'!C3</f>
        <v>DELFIM MOREIRA ISS 4%</v>
      </c>
      <c r="D3" s="16"/>
      <c r="E3" s="4"/>
      <c r="F3" s="20"/>
      <c r="G3" s="3"/>
    </row>
    <row r="4" spans="1:14" s="17" customFormat="1" ht="12.75">
      <c r="B4" s="112" t="str">
        <f>'PLANILHA ORÇAMENTÁRIA'!A4</f>
        <v>OBRA:</v>
      </c>
      <c r="C4" s="40" t="str">
        <f>'PLANILHA ORÇAMENTÁRIA'!C4</f>
        <v>REFORMA DA ESCOLA MUNICIPAL JOAQUIM PERES</v>
      </c>
      <c r="D4" s="5"/>
      <c r="E4" s="5"/>
      <c r="F4" s="5"/>
      <c r="G4" s="5"/>
      <c r="H4" s="6"/>
      <c r="I4" s="6"/>
      <c r="J4" s="6"/>
    </row>
    <row r="5" spans="1:14" s="17" customFormat="1" ht="12.75">
      <c r="B5" s="112" t="str">
        <f>'PLANILHA ORÇAMENTÁRIA'!A5</f>
        <v>DATA:</v>
      </c>
      <c r="C5" s="40" t="str">
        <f>'PLANILHA ORÇAMENTÁRIA'!C5</f>
        <v>AGOSTO DE 2024</v>
      </c>
      <c r="D5" s="7"/>
      <c r="E5" s="8"/>
      <c r="F5" s="21"/>
      <c r="G5" s="9"/>
      <c r="H5" s="22"/>
      <c r="I5" s="6"/>
      <c r="J5" s="6"/>
    </row>
    <row r="6" spans="1:14" s="17" customFormat="1" ht="12.75">
      <c r="B6" s="112"/>
      <c r="C6" s="118" t="str">
        <f>'PLANILHA ORÇAMENTÁRIA'!C6</f>
        <v>REVISÃO ZERO</v>
      </c>
      <c r="D6" s="23"/>
      <c r="E6" s="8"/>
      <c r="F6" s="21"/>
      <c r="G6" s="9"/>
      <c r="H6" s="22"/>
      <c r="I6" s="6"/>
      <c r="J6" s="6"/>
    </row>
    <row r="7" spans="1:14" s="17" customFormat="1" ht="12.75">
      <c r="A7" s="11"/>
      <c r="B7" s="10"/>
      <c r="C7" s="12"/>
      <c r="D7" s="13"/>
      <c r="E7" s="10"/>
      <c r="F7" s="11"/>
      <c r="G7" s="24"/>
      <c r="H7" s="25"/>
      <c r="I7" s="25"/>
    </row>
    <row r="8" spans="1:14" customFormat="1" ht="27" customHeight="1">
      <c r="A8" s="333" t="s">
        <v>15</v>
      </c>
      <c r="B8" s="333"/>
      <c r="C8" s="333"/>
      <c r="D8" s="333"/>
      <c r="E8" s="333"/>
      <c r="F8" s="333"/>
      <c r="G8" s="333"/>
      <c r="H8" s="333"/>
      <c r="I8" s="334">
        <v>0.5</v>
      </c>
      <c r="J8" s="334"/>
      <c r="K8" s="27"/>
      <c r="L8" s="27"/>
      <c r="M8" s="27"/>
      <c r="N8" s="27"/>
    </row>
    <row r="9" spans="1:14" customFormat="1" ht="21.6" customHeight="1">
      <c r="A9" s="335" t="s">
        <v>16</v>
      </c>
      <c r="B9" s="335"/>
      <c r="C9" s="335"/>
      <c r="D9" s="335"/>
      <c r="E9" s="335"/>
      <c r="F9" s="335"/>
      <c r="G9" s="335"/>
      <c r="H9" s="335"/>
      <c r="I9" s="334">
        <v>0.04</v>
      </c>
      <c r="J9" s="334"/>
      <c r="K9" s="27"/>
      <c r="L9" s="27"/>
      <c r="M9" s="27"/>
      <c r="N9" s="27"/>
    </row>
    <row r="10" spans="1:14" customFormat="1">
      <c r="A10" s="28"/>
      <c r="B10" s="28"/>
      <c r="C10" s="28"/>
      <c r="D10" s="28"/>
      <c r="E10" s="28"/>
      <c r="F10" s="28"/>
      <c r="G10" s="28"/>
      <c r="H10" s="28"/>
      <c r="I10" s="28"/>
      <c r="J10" s="28"/>
      <c r="K10" s="27"/>
      <c r="L10" s="27"/>
      <c r="M10" s="27"/>
      <c r="N10" s="27"/>
    </row>
    <row r="11" spans="1:14" customFormat="1">
      <c r="A11" s="29"/>
      <c r="B11" s="29"/>
      <c r="C11" s="29"/>
      <c r="D11" s="29"/>
      <c r="E11" s="29"/>
      <c r="F11" s="29"/>
      <c r="G11" s="29"/>
      <c r="H11" s="29"/>
      <c r="I11" s="29"/>
      <c r="J11" s="29"/>
      <c r="K11" s="27"/>
      <c r="L11" s="27"/>
      <c r="M11" s="27"/>
      <c r="N11" s="27"/>
    </row>
    <row r="12" spans="1:14" customFormat="1">
      <c r="A12" s="336" t="s">
        <v>17</v>
      </c>
      <c r="B12" s="336"/>
      <c r="C12" s="336"/>
      <c r="D12" s="336"/>
      <c r="E12" s="336"/>
      <c r="F12" s="336"/>
      <c r="G12" s="336"/>
      <c r="H12" s="336"/>
      <c r="I12" s="336"/>
      <c r="J12" s="336"/>
      <c r="K12" s="27"/>
      <c r="L12" s="27"/>
      <c r="M12" s="27"/>
      <c r="N12" s="27"/>
    </row>
    <row r="13" spans="1:14" customFormat="1">
      <c r="A13" s="337" t="s">
        <v>18</v>
      </c>
      <c r="B13" s="337"/>
      <c r="C13" s="337"/>
      <c r="D13" s="337"/>
      <c r="E13" s="337"/>
      <c r="F13" s="337"/>
      <c r="G13" s="337"/>
      <c r="H13" s="337"/>
      <c r="I13" s="337"/>
      <c r="J13" s="337"/>
      <c r="K13" s="27"/>
      <c r="L13" s="27"/>
      <c r="M13" s="27"/>
      <c r="N13" s="27"/>
    </row>
    <row r="14" spans="1:14" customFormat="1">
      <c r="A14" s="29"/>
      <c r="B14" s="29"/>
      <c r="C14" s="29"/>
      <c r="D14" s="29"/>
      <c r="E14" s="29"/>
      <c r="F14" s="29"/>
      <c r="G14" s="29"/>
      <c r="H14" s="29"/>
      <c r="I14" s="29"/>
      <c r="J14" s="29"/>
      <c r="K14" s="27"/>
      <c r="L14" s="27"/>
      <c r="M14" s="27"/>
      <c r="N14" s="27"/>
    </row>
    <row r="15" spans="1:14" customFormat="1" ht="14.45" customHeight="1">
      <c r="A15" s="339" t="s">
        <v>19</v>
      </c>
      <c r="B15" s="339"/>
      <c r="C15" s="339"/>
      <c r="D15" s="339"/>
      <c r="E15" s="339"/>
      <c r="F15" s="339"/>
      <c r="G15" s="339"/>
      <c r="H15" s="339"/>
      <c r="I15" s="339" t="s">
        <v>20</v>
      </c>
      <c r="J15" s="340" t="s">
        <v>21</v>
      </c>
      <c r="K15" s="27"/>
      <c r="L15" s="332" t="s">
        <v>22</v>
      </c>
      <c r="M15" s="332" t="s">
        <v>23</v>
      </c>
      <c r="N15" s="332" t="s">
        <v>24</v>
      </c>
    </row>
    <row r="16" spans="1:14" customFormat="1">
      <c r="A16" s="339"/>
      <c r="B16" s="339"/>
      <c r="C16" s="339"/>
      <c r="D16" s="339"/>
      <c r="E16" s="339"/>
      <c r="F16" s="339"/>
      <c r="G16" s="339"/>
      <c r="H16" s="339"/>
      <c r="I16" s="339"/>
      <c r="J16" s="340"/>
      <c r="K16" s="27"/>
      <c r="L16" s="332"/>
      <c r="M16" s="332"/>
      <c r="N16" s="332"/>
    </row>
    <row r="17" spans="1:14" customFormat="1" ht="14.45" customHeight="1">
      <c r="A17" s="338" t="s">
        <v>25</v>
      </c>
      <c r="B17" s="338"/>
      <c r="C17" s="338"/>
      <c r="D17" s="338"/>
      <c r="E17" s="338"/>
      <c r="F17" s="338"/>
      <c r="G17" s="338"/>
      <c r="H17" s="338"/>
      <c r="I17" s="30" t="s">
        <v>26</v>
      </c>
      <c r="J17" s="37">
        <v>4.48E-2</v>
      </c>
      <c r="K17" s="27"/>
      <c r="L17" s="31">
        <v>0.03</v>
      </c>
      <c r="M17" s="31">
        <v>0.04</v>
      </c>
      <c r="N17" s="31">
        <v>5.5E-2</v>
      </c>
    </row>
    <row r="18" spans="1:14" customFormat="1" ht="14.45" customHeight="1">
      <c r="A18" s="338" t="s">
        <v>27</v>
      </c>
      <c r="B18" s="338"/>
      <c r="C18" s="338"/>
      <c r="D18" s="338"/>
      <c r="E18" s="338"/>
      <c r="F18" s="338"/>
      <c r="G18" s="338"/>
      <c r="H18" s="338"/>
      <c r="I18" s="30" t="s">
        <v>28</v>
      </c>
      <c r="J18" s="37">
        <v>0.01</v>
      </c>
      <c r="K18" s="27"/>
      <c r="L18" s="31">
        <v>8.0000000000000002E-3</v>
      </c>
      <c r="M18" s="31">
        <v>8.0000000000000002E-3</v>
      </c>
      <c r="N18" s="31">
        <v>0.01</v>
      </c>
    </row>
    <row r="19" spans="1:14" customFormat="1">
      <c r="A19" s="338" t="s">
        <v>29</v>
      </c>
      <c r="B19" s="338"/>
      <c r="C19" s="338"/>
      <c r="D19" s="338"/>
      <c r="E19" s="338"/>
      <c r="F19" s="338"/>
      <c r="G19" s="338"/>
      <c r="H19" s="338"/>
      <c r="I19" s="30" t="s">
        <v>30</v>
      </c>
      <c r="J19" s="37">
        <v>1.2699999999999999E-2</v>
      </c>
      <c r="K19" s="27"/>
      <c r="L19" s="31">
        <v>9.7000000000000003E-3</v>
      </c>
      <c r="M19" s="31">
        <v>1.2699999999999999E-2</v>
      </c>
      <c r="N19" s="31">
        <v>1.2699999999999999E-2</v>
      </c>
    </row>
    <row r="20" spans="1:14" customFormat="1">
      <c r="A20" s="338" t="s">
        <v>31</v>
      </c>
      <c r="B20" s="338"/>
      <c r="C20" s="338"/>
      <c r="D20" s="338"/>
      <c r="E20" s="338"/>
      <c r="F20" s="338"/>
      <c r="G20" s="338"/>
      <c r="H20" s="338"/>
      <c r="I20" s="30" t="s">
        <v>32</v>
      </c>
      <c r="J20" s="37">
        <v>1.3899999999999999E-2</v>
      </c>
      <c r="K20" s="27"/>
      <c r="L20" s="31">
        <v>5.8999999999999999E-3</v>
      </c>
      <c r="M20" s="31">
        <v>1.23E-2</v>
      </c>
      <c r="N20" s="31">
        <v>1.3899999999999999E-2</v>
      </c>
    </row>
    <row r="21" spans="1:14" customFormat="1" ht="14.45" customHeight="1">
      <c r="A21" s="338" t="s">
        <v>33</v>
      </c>
      <c r="B21" s="338"/>
      <c r="C21" s="338"/>
      <c r="D21" s="338"/>
      <c r="E21" s="338"/>
      <c r="F21" s="338"/>
      <c r="G21" s="338"/>
      <c r="H21" s="338"/>
      <c r="I21" s="30" t="s">
        <v>34</v>
      </c>
      <c r="J21" s="37">
        <v>8.9599999999999999E-2</v>
      </c>
      <c r="K21" s="27"/>
      <c r="L21" s="31">
        <v>6.1600000000000002E-2</v>
      </c>
      <c r="M21" s="31">
        <v>7.400000000000001E-2</v>
      </c>
      <c r="N21" s="31">
        <v>8.9600000000000013E-2</v>
      </c>
    </row>
    <row r="22" spans="1:14" customFormat="1" ht="14.45" customHeight="1">
      <c r="A22" s="338" t="s">
        <v>35</v>
      </c>
      <c r="B22" s="338"/>
      <c r="C22" s="338"/>
      <c r="D22" s="338"/>
      <c r="E22" s="338"/>
      <c r="F22" s="338"/>
      <c r="G22" s="338"/>
      <c r="H22" s="338"/>
      <c r="I22" s="30" t="s">
        <v>36</v>
      </c>
      <c r="J22" s="37">
        <v>3.6499999999999998E-2</v>
      </c>
      <c r="K22" s="27"/>
      <c r="L22" s="31">
        <v>3.6499999999999998E-2</v>
      </c>
      <c r="M22" s="31">
        <v>3.6499999999999998E-2</v>
      </c>
      <c r="N22" s="31">
        <v>3.6499999999999998E-2</v>
      </c>
    </row>
    <row r="23" spans="1:14" customFormat="1" ht="14.45" customHeight="1">
      <c r="A23" s="338" t="s">
        <v>37</v>
      </c>
      <c r="B23" s="338"/>
      <c r="C23" s="338"/>
      <c r="D23" s="338"/>
      <c r="E23" s="338"/>
      <c r="F23" s="338"/>
      <c r="G23" s="338"/>
      <c r="H23" s="338"/>
      <c r="I23" s="30" t="s">
        <v>38</v>
      </c>
      <c r="J23" s="31">
        <v>0.02</v>
      </c>
      <c r="K23" s="27"/>
      <c r="L23" s="31">
        <v>0</v>
      </c>
      <c r="M23" s="31">
        <v>2.5000000000000001E-2</v>
      </c>
      <c r="N23" s="31">
        <v>0.05</v>
      </c>
    </row>
    <row r="24" spans="1:14" customFormat="1" ht="28.9" customHeight="1">
      <c r="A24" s="338" t="s">
        <v>39</v>
      </c>
      <c r="B24" s="338"/>
      <c r="C24" s="338"/>
      <c r="D24" s="338"/>
      <c r="E24" s="338"/>
      <c r="F24" s="338"/>
      <c r="G24" s="338"/>
      <c r="H24" s="338"/>
      <c r="I24" s="30" t="s">
        <v>40</v>
      </c>
      <c r="J24" s="31">
        <v>0</v>
      </c>
      <c r="K24" s="27"/>
      <c r="L24" s="32">
        <v>0</v>
      </c>
      <c r="M24" s="32">
        <v>4.4999999999999998E-2</v>
      </c>
      <c r="N24" s="32">
        <v>4.4999999999999998E-2</v>
      </c>
    </row>
    <row r="25" spans="1:14" customFormat="1" ht="31.15" customHeight="1">
      <c r="A25" s="338" t="s">
        <v>41</v>
      </c>
      <c r="B25" s="338"/>
      <c r="C25" s="338"/>
      <c r="D25" s="338"/>
      <c r="E25" s="338"/>
      <c r="F25" s="338"/>
      <c r="G25" s="338"/>
      <c r="H25" s="338"/>
      <c r="I25" s="33" t="s">
        <v>42</v>
      </c>
      <c r="J25" s="34">
        <v>0.24990000000000001</v>
      </c>
      <c r="K25" s="27"/>
      <c r="L25" s="31">
        <v>0.2034</v>
      </c>
      <c r="M25" s="31">
        <v>0.22120000000000001</v>
      </c>
      <c r="N25" s="31">
        <v>0.25</v>
      </c>
    </row>
    <row r="26" spans="1:14" customFormat="1">
      <c r="A26" s="29"/>
      <c r="B26" s="29"/>
      <c r="C26" s="29"/>
      <c r="D26" s="29"/>
      <c r="E26" s="29"/>
      <c r="F26" s="29"/>
      <c r="G26" s="29"/>
      <c r="H26" s="29"/>
      <c r="I26" s="29"/>
      <c r="J26" s="29"/>
      <c r="K26" s="27"/>
      <c r="L26" s="27"/>
      <c r="M26" s="27"/>
      <c r="N26" s="27"/>
    </row>
    <row r="27" spans="1:14" customFormat="1">
      <c r="A27" s="344" t="s">
        <v>43</v>
      </c>
      <c r="B27" s="344"/>
      <c r="C27" s="344"/>
      <c r="D27" s="344"/>
      <c r="E27" s="344"/>
      <c r="F27" s="344"/>
      <c r="G27" s="344"/>
      <c r="H27" s="344"/>
      <c r="I27" s="344"/>
      <c r="J27" s="344"/>
      <c r="K27" s="27"/>
      <c r="L27" s="27"/>
      <c r="M27" s="27"/>
      <c r="N27" s="27"/>
    </row>
    <row r="28" spans="1:14" customFormat="1">
      <c r="A28" s="35"/>
      <c r="B28" s="35"/>
      <c r="C28" s="35"/>
      <c r="D28" s="345" t="s">
        <v>44</v>
      </c>
      <c r="E28" s="346" t="s">
        <v>45</v>
      </c>
      <c r="F28" s="346"/>
      <c r="G28" s="346"/>
      <c r="H28" s="347" t="s">
        <v>46</v>
      </c>
      <c r="I28" s="35"/>
      <c r="J28" s="35"/>
      <c r="K28" s="27"/>
      <c r="L28" s="27"/>
      <c r="M28" s="27"/>
      <c r="N28" s="27"/>
    </row>
    <row r="29" spans="1:14" customFormat="1">
      <c r="A29" s="35"/>
      <c r="B29" s="35"/>
      <c r="C29" s="35"/>
      <c r="D29" s="345"/>
      <c r="E29" s="348" t="s">
        <v>47</v>
      </c>
      <c r="F29" s="348"/>
      <c r="G29" s="348"/>
      <c r="H29" s="347"/>
      <c r="I29" s="35"/>
      <c r="J29" s="35"/>
      <c r="K29" s="27"/>
      <c r="L29" s="27"/>
      <c r="M29" s="27"/>
      <c r="N29" s="27"/>
    </row>
    <row r="30" spans="1:14" customFormat="1">
      <c r="A30" s="36"/>
      <c r="B30" s="36"/>
      <c r="C30" s="36"/>
      <c r="D30" s="36"/>
      <c r="E30" s="36"/>
      <c r="F30" s="36"/>
      <c r="G30" s="36"/>
      <c r="H30" s="36"/>
      <c r="I30" s="36"/>
      <c r="J30" s="36"/>
      <c r="K30" s="27"/>
      <c r="L30" s="27"/>
      <c r="M30" s="27"/>
      <c r="N30" s="27"/>
    </row>
    <row r="31" spans="1:14" customFormat="1" ht="26.45" customHeight="1">
      <c r="A31" s="341" t="s">
        <v>75</v>
      </c>
      <c r="B31" s="341"/>
      <c r="C31" s="341"/>
      <c r="D31" s="341"/>
      <c r="E31" s="341"/>
      <c r="F31" s="341"/>
      <c r="G31" s="341"/>
      <c r="H31" s="341"/>
      <c r="I31" s="341"/>
      <c r="J31" s="341"/>
      <c r="K31" s="27"/>
      <c r="L31" s="27"/>
      <c r="M31" s="27"/>
      <c r="N31" s="27"/>
    </row>
    <row r="32" spans="1:14" customFormat="1">
      <c r="A32" s="29"/>
      <c r="B32" s="29"/>
      <c r="C32" s="29"/>
      <c r="D32" s="29"/>
      <c r="E32" s="29"/>
      <c r="F32" s="29"/>
      <c r="G32" s="29"/>
      <c r="H32" s="29"/>
      <c r="I32" s="29"/>
      <c r="J32" s="29"/>
      <c r="K32" s="27"/>
      <c r="L32" s="27"/>
      <c r="M32" s="27"/>
      <c r="N32" s="27"/>
    </row>
    <row r="33" spans="1:14" customFormat="1" ht="33" customHeight="1">
      <c r="A33" s="342" t="s">
        <v>48</v>
      </c>
      <c r="B33" s="342"/>
      <c r="C33" s="342"/>
      <c r="D33" s="342"/>
      <c r="E33" s="342"/>
      <c r="F33" s="342"/>
      <c r="G33" s="342"/>
      <c r="H33" s="342"/>
      <c r="I33" s="342"/>
      <c r="J33" s="342"/>
      <c r="K33" s="27"/>
      <c r="L33" s="27"/>
      <c r="M33" s="27"/>
      <c r="N33" s="27"/>
    </row>
    <row r="34" spans="1:14" customFormat="1"/>
    <row r="35" spans="1:14" s="43" customFormat="1" ht="39.6" customHeight="1">
      <c r="A35" s="47"/>
      <c r="B35" s="56"/>
      <c r="C35" s="47"/>
      <c r="D35" s="45"/>
      <c r="E35" s="51"/>
      <c r="F35" s="58"/>
      <c r="G35" s="52"/>
      <c r="H35" s="52"/>
      <c r="I35" s="52"/>
      <c r="J35" s="52"/>
      <c r="L35" s="57"/>
      <c r="M35" s="44"/>
    </row>
    <row r="36" spans="1:14" s="43" customFormat="1" ht="12">
      <c r="A36" s="47"/>
      <c r="B36" s="56"/>
      <c r="C36" s="47"/>
      <c r="D36" s="45" t="s">
        <v>70</v>
      </c>
      <c r="E36" s="51"/>
      <c r="F36" s="58"/>
      <c r="G36" s="52"/>
      <c r="H36" s="59"/>
      <c r="I36" s="52"/>
      <c r="J36" s="52"/>
      <c r="L36" s="57"/>
      <c r="M36" s="44"/>
    </row>
    <row r="37" spans="1:14" s="43" customFormat="1" ht="12">
      <c r="A37" s="47"/>
      <c r="B37" s="56"/>
      <c r="C37" s="47"/>
      <c r="D37" s="45" t="s">
        <v>71</v>
      </c>
      <c r="E37" s="51"/>
      <c r="F37" s="58"/>
      <c r="G37" s="52"/>
      <c r="H37" s="52"/>
      <c r="I37" s="52"/>
      <c r="J37" s="52"/>
      <c r="M37" s="44"/>
    </row>
    <row r="38" spans="1:14" s="43" customFormat="1" ht="12">
      <c r="A38" s="47"/>
      <c r="B38" s="56"/>
      <c r="C38" s="47"/>
      <c r="D38" s="43" t="s">
        <v>72</v>
      </c>
      <c r="E38" s="51"/>
      <c r="F38" s="58"/>
      <c r="G38" s="52"/>
      <c r="H38" s="52"/>
      <c r="I38" s="52"/>
      <c r="J38" s="52"/>
      <c r="M38" s="44"/>
    </row>
  </sheetData>
  <mergeCells count="29">
    <mergeCell ref="A31:J31"/>
    <mergeCell ref="A33:J33"/>
    <mergeCell ref="A1:N1"/>
    <mergeCell ref="A23:H23"/>
    <mergeCell ref="A24:H24"/>
    <mergeCell ref="A25:H25"/>
    <mergeCell ref="A27:J27"/>
    <mergeCell ref="D28:D29"/>
    <mergeCell ref="E28:G28"/>
    <mergeCell ref="H28:H29"/>
    <mergeCell ref="E29:G29"/>
    <mergeCell ref="A17:H17"/>
    <mergeCell ref="A18:H18"/>
    <mergeCell ref="A19:H19"/>
    <mergeCell ref="A20:H20"/>
    <mergeCell ref="A21:H21"/>
    <mergeCell ref="A22:H22"/>
    <mergeCell ref="A15:H16"/>
    <mergeCell ref="I15:I16"/>
    <mergeCell ref="J15:J16"/>
    <mergeCell ref="L15:L16"/>
    <mergeCell ref="M15:M16"/>
    <mergeCell ref="N15:N16"/>
    <mergeCell ref="A8:H8"/>
    <mergeCell ref="I8:J8"/>
    <mergeCell ref="A9:H9"/>
    <mergeCell ref="I9:J9"/>
    <mergeCell ref="A12:J12"/>
    <mergeCell ref="A13:J13"/>
  </mergeCells>
  <conditionalFormatting sqref="J25">
    <cfRule type="expression" dxfId="7" priority="1" stopIfTrue="1">
      <formula>DESONERACAO="não"</formula>
    </cfRule>
  </conditionalFormatting>
  <dataValidations count="6">
    <dataValidation type="decimal" allowBlank="1" showErrorMessage="1" errorTitle="Erro de valores" error="Digite um valor entre 0% e 100%" sqref="J17:J22">
      <formula1>0</formula1>
      <formula2>1</formula2>
    </dataValidation>
    <dataValidation type="decimal" allowBlank="1" showErrorMessage="1" errorTitle="Erro de valores" error="Digite um valor maior do que 0." sqref="J23">
      <formula1>0</formula1>
      <formula2>1</formula2>
    </dataValidation>
    <dataValidation operator="greaterThanOrEqual" allowBlank="1" showErrorMessage="1" errorTitle="Erro de valores" error="Digite um valor igual a 0% ou 2%." sqref="J24">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I9:J9">
      <formula1>0</formula1>
      <formula2>0</formula2>
    </dataValidation>
    <dataValidation type="decimal" allowBlank="1" showInputMessage="1" showErrorMessage="1" errorTitle="Valor não permitido" error="Digite um percentual entre 0% e 100%." promptTitle="Valores admissíveis:" prompt="Insira valores entre 0 e 100%." sqref="I8:J8">
      <formula1>0</formula1>
      <formula2>1</formula2>
    </dataValidation>
    <dataValidation type="list" allowBlank="1" showErrorMessage="1" sqref="A13:J13">
      <formula1>BDI.TipoObra</formula1>
      <formula2>0</formula2>
    </dataValidation>
  </dataValidations>
  <pageMargins left="0.59055118110236227" right="0.59055118110236227" top="1.1811023622047245" bottom="0.59055118110236227" header="0.39370078740157483" footer="0.39370078740157483"/>
  <pageSetup paperSize="9" scale="72" fitToHeight="0" orientation="portrait" r:id="rId1"/>
  <headerFooter>
    <oddHeader>&amp;L&amp;G</oddHeader>
    <oddFooter>Página &amp;P de &amp;N</oddFooter>
  </headerFooter>
  <legacyDrawingHF r:id="rId2"/>
</worksheet>
</file>

<file path=xl/worksheets/sheet2.xml><?xml version="1.0" encoding="utf-8"?>
<worksheet xmlns="http://schemas.openxmlformats.org/spreadsheetml/2006/main" xmlns:r="http://schemas.openxmlformats.org/officeDocument/2006/relationships">
  <dimension ref="A1:J106"/>
  <sheetViews>
    <sheetView tabSelected="1" view="pageBreakPreview" zoomScale="120" zoomScaleSheetLayoutView="120" workbookViewId="0">
      <selection sqref="A1:I1"/>
    </sheetView>
  </sheetViews>
  <sheetFormatPr defaultColWidth="8.85546875" defaultRowHeight="12"/>
  <cols>
    <col min="1" max="1" width="8.140625" style="218" bestFit="1" customWidth="1"/>
    <col min="2" max="2" width="10.5703125" style="114" customWidth="1"/>
    <col min="3" max="3" width="8.5703125" style="218" customWidth="1"/>
    <col min="4" max="4" width="38.7109375" style="219" customWidth="1"/>
    <col min="5" max="5" width="8.140625" style="114" bestFit="1" customWidth="1"/>
    <col min="6" max="6" width="11.140625" style="220" bestFit="1" customWidth="1"/>
    <col min="7" max="8" width="12.85546875" style="221" customWidth="1"/>
    <col min="9" max="9" width="15.28515625" style="221" bestFit="1" customWidth="1"/>
    <col min="10" max="16384" width="8.85546875" style="224"/>
  </cols>
  <sheetData>
    <row r="1" spans="1:9" s="38" customFormat="1" ht="15.75">
      <c r="A1" s="350" t="s">
        <v>0</v>
      </c>
      <c r="B1" s="350"/>
      <c r="C1" s="350"/>
      <c r="D1" s="350"/>
      <c r="E1" s="350"/>
      <c r="F1" s="350"/>
      <c r="G1" s="350"/>
      <c r="H1" s="350"/>
      <c r="I1" s="350"/>
    </row>
    <row r="2" spans="1:9" s="38" customFormat="1">
      <c r="A2" s="119"/>
      <c r="B2" s="127"/>
      <c r="C2" s="39"/>
      <c r="D2" s="39"/>
      <c r="E2" s="39"/>
      <c r="F2" s="61"/>
      <c r="G2" s="50"/>
      <c r="H2" s="50"/>
      <c r="I2" s="50"/>
    </row>
    <row r="3" spans="1:9" s="38" customFormat="1">
      <c r="A3" s="351" t="s">
        <v>1</v>
      </c>
      <c r="B3" s="351"/>
      <c r="C3" s="188" t="s">
        <v>73</v>
      </c>
      <c r="D3" s="187"/>
      <c r="E3" s="39"/>
      <c r="F3" s="61"/>
      <c r="G3" s="50"/>
      <c r="H3" s="50"/>
      <c r="I3" s="50"/>
    </row>
    <row r="4" spans="1:9" s="38" customFormat="1">
      <c r="A4" s="351" t="s">
        <v>2</v>
      </c>
      <c r="B4" s="351"/>
      <c r="C4" s="48" t="s">
        <v>93</v>
      </c>
      <c r="D4" s="154"/>
      <c r="E4" s="49"/>
      <c r="F4" s="62"/>
      <c r="G4" s="128"/>
      <c r="H4" s="128"/>
      <c r="I4" s="128"/>
    </row>
    <row r="5" spans="1:9" s="38" customFormat="1">
      <c r="A5" s="351" t="s">
        <v>3</v>
      </c>
      <c r="B5" s="351"/>
      <c r="C5" s="41" t="s">
        <v>94</v>
      </c>
      <c r="D5" s="123"/>
      <c r="E5" s="120"/>
      <c r="F5" s="61"/>
      <c r="G5" s="131"/>
      <c r="H5" s="50"/>
      <c r="I5" s="50"/>
    </row>
    <row r="6" spans="1:9" s="38" customFormat="1">
      <c r="A6" s="188"/>
      <c r="B6" s="187"/>
      <c r="C6" s="236" t="s">
        <v>74</v>
      </c>
      <c r="D6" s="123"/>
      <c r="E6" s="120"/>
      <c r="F6" s="61"/>
      <c r="G6" s="131"/>
      <c r="H6" s="50"/>
      <c r="I6" s="50"/>
    </row>
    <row r="7" spans="1:9" s="38" customFormat="1">
      <c r="A7" s="352" t="s">
        <v>12</v>
      </c>
      <c r="B7" s="352"/>
      <c r="C7" s="121">
        <v>0.24990000000000001</v>
      </c>
      <c r="D7" s="123"/>
      <c r="E7" s="120"/>
      <c r="F7" s="61"/>
      <c r="G7" s="131"/>
      <c r="H7" s="50"/>
      <c r="I7" s="50"/>
    </row>
    <row r="8" spans="1:9" s="38" customFormat="1">
      <c r="A8" s="349" t="s">
        <v>4</v>
      </c>
      <c r="B8" s="349"/>
      <c r="C8" s="188" t="s">
        <v>95</v>
      </c>
      <c r="D8" s="187"/>
      <c r="E8" s="39"/>
      <c r="F8" s="61"/>
      <c r="G8" s="50"/>
      <c r="H8" s="50"/>
      <c r="I8" s="50"/>
    </row>
    <row r="9" spans="1:9" s="38" customFormat="1">
      <c r="A9" s="187"/>
      <c r="B9" s="187"/>
      <c r="C9" s="188" t="s">
        <v>96</v>
      </c>
      <c r="D9" s="187"/>
      <c r="E9" s="39"/>
      <c r="F9" s="61"/>
      <c r="G9" s="131"/>
      <c r="H9" s="70"/>
      <c r="I9" s="70"/>
    </row>
    <row r="10" spans="1:9" s="38" customFormat="1">
      <c r="A10" s="39"/>
      <c r="B10" s="39"/>
      <c r="C10" s="126"/>
      <c r="D10" s="39"/>
      <c r="E10" s="39"/>
      <c r="F10" s="61"/>
      <c r="G10" s="131"/>
      <c r="H10" s="70"/>
      <c r="I10" s="70"/>
    </row>
    <row r="11" spans="1:9" s="15" customFormat="1" ht="36">
      <c r="A11" s="124" t="s">
        <v>5</v>
      </c>
      <c r="B11" s="124" t="s">
        <v>6</v>
      </c>
      <c r="C11" s="124" t="s">
        <v>7</v>
      </c>
      <c r="D11" s="124" t="s">
        <v>8</v>
      </c>
      <c r="E11" s="124" t="s">
        <v>9</v>
      </c>
      <c r="F11" s="63" t="s">
        <v>10</v>
      </c>
      <c r="G11" s="160" t="s">
        <v>50</v>
      </c>
      <c r="H11" s="160" t="s">
        <v>51</v>
      </c>
      <c r="I11" s="160" t="s">
        <v>11</v>
      </c>
    </row>
    <row r="12" spans="1:9" s="15" customFormat="1" ht="24">
      <c r="A12" s="209" t="s">
        <v>190</v>
      </c>
      <c r="B12" s="210"/>
      <c r="C12" s="209"/>
      <c r="D12" s="211" t="s">
        <v>93</v>
      </c>
      <c r="E12" s="210"/>
      <c r="F12" s="212"/>
      <c r="G12" s="213"/>
      <c r="H12" s="185"/>
      <c r="I12" s="185">
        <v>182906.34</v>
      </c>
    </row>
    <row r="13" spans="1:9" s="15" customFormat="1">
      <c r="A13" s="214" t="s">
        <v>191</v>
      </c>
      <c r="B13" s="190"/>
      <c r="C13" s="214"/>
      <c r="D13" s="215" t="s">
        <v>49</v>
      </c>
      <c r="E13" s="190"/>
      <c r="F13" s="216"/>
      <c r="G13" s="217"/>
      <c r="H13" s="186"/>
      <c r="I13" s="186">
        <v>12198.4</v>
      </c>
    </row>
    <row r="14" spans="1:9" s="122" customFormat="1" ht="24">
      <c r="A14" s="218" t="s">
        <v>192</v>
      </c>
      <c r="B14" s="231" t="s">
        <v>193</v>
      </c>
      <c r="C14" s="232" t="s">
        <v>194</v>
      </c>
      <c r="D14" s="219" t="s">
        <v>195</v>
      </c>
      <c r="E14" s="114" t="s">
        <v>196</v>
      </c>
      <c r="F14" s="220">
        <v>80</v>
      </c>
      <c r="G14" s="221">
        <v>121.99</v>
      </c>
      <c r="H14" s="161">
        <v>152.47999999999999</v>
      </c>
      <c r="I14" s="161">
        <v>12198.4</v>
      </c>
    </row>
    <row r="15" spans="1:9" s="122" customFormat="1">
      <c r="A15" s="214" t="s">
        <v>197</v>
      </c>
      <c r="B15" s="190"/>
      <c r="C15" s="214"/>
      <c r="D15" s="215" t="s">
        <v>86</v>
      </c>
      <c r="E15" s="190"/>
      <c r="F15" s="216"/>
      <c r="G15" s="217"/>
      <c r="H15" s="186"/>
      <c r="I15" s="186">
        <v>769.66</v>
      </c>
    </row>
    <row r="16" spans="1:9" s="122" customFormat="1" ht="36">
      <c r="A16" s="218" t="s">
        <v>198</v>
      </c>
      <c r="B16" s="231" t="s">
        <v>193</v>
      </c>
      <c r="C16" s="232" t="s">
        <v>199</v>
      </c>
      <c r="D16" s="219" t="s">
        <v>200</v>
      </c>
      <c r="E16" s="114" t="s">
        <v>201</v>
      </c>
      <c r="F16" s="220">
        <v>2</v>
      </c>
      <c r="G16" s="221">
        <v>307.89</v>
      </c>
      <c r="H16" s="161">
        <v>384.83</v>
      </c>
      <c r="I16" s="161">
        <v>769.66</v>
      </c>
    </row>
    <row r="17" spans="1:10" s="122" customFormat="1">
      <c r="A17" s="214" t="s">
        <v>202</v>
      </c>
      <c r="B17" s="190"/>
      <c r="C17" s="214"/>
      <c r="D17" s="215" t="s">
        <v>88</v>
      </c>
      <c r="E17" s="190"/>
      <c r="F17" s="216"/>
      <c r="G17" s="217"/>
      <c r="H17" s="186"/>
      <c r="I17" s="186">
        <v>8999.6</v>
      </c>
    </row>
    <row r="18" spans="1:10" s="122" customFormat="1" ht="72">
      <c r="A18" s="218" t="s">
        <v>203</v>
      </c>
      <c r="B18" s="231" t="s">
        <v>204</v>
      </c>
      <c r="C18" s="232" t="s">
        <v>205</v>
      </c>
      <c r="D18" s="219" t="s">
        <v>206</v>
      </c>
      <c r="E18" s="114" t="s">
        <v>126</v>
      </c>
      <c r="F18" s="220">
        <v>21.69</v>
      </c>
      <c r="G18" s="221">
        <v>19.239999999999998</v>
      </c>
      <c r="H18" s="161">
        <v>24.05</v>
      </c>
      <c r="I18" s="161">
        <v>521.64</v>
      </c>
    </row>
    <row r="19" spans="1:10" s="122" customFormat="1" ht="24">
      <c r="A19" s="218" t="s">
        <v>207</v>
      </c>
      <c r="B19" s="231" t="s">
        <v>193</v>
      </c>
      <c r="C19" s="232" t="s">
        <v>208</v>
      </c>
      <c r="D19" s="219" t="s">
        <v>209</v>
      </c>
      <c r="E19" s="114" t="s">
        <v>201</v>
      </c>
      <c r="F19" s="220">
        <v>5.04</v>
      </c>
      <c r="G19" s="221">
        <v>9.32</v>
      </c>
      <c r="H19" s="161">
        <v>11.65</v>
      </c>
      <c r="I19" s="161">
        <v>58.72</v>
      </c>
    </row>
    <row r="20" spans="1:10" s="38" customFormat="1" ht="36">
      <c r="A20" s="218" t="s">
        <v>210</v>
      </c>
      <c r="B20" s="231" t="s">
        <v>193</v>
      </c>
      <c r="C20" s="232" t="s">
        <v>211</v>
      </c>
      <c r="D20" s="219" t="s">
        <v>212</v>
      </c>
      <c r="E20" s="114" t="s">
        <v>201</v>
      </c>
      <c r="F20" s="220">
        <v>292.88</v>
      </c>
      <c r="G20" s="221">
        <v>1.87</v>
      </c>
      <c r="H20" s="161">
        <v>2.34</v>
      </c>
      <c r="I20" s="161">
        <v>685.34</v>
      </c>
      <c r="J20" s="122"/>
    </row>
    <row r="21" spans="1:10" s="38" customFormat="1" ht="36">
      <c r="A21" s="218" t="s">
        <v>213</v>
      </c>
      <c r="B21" s="231" t="s">
        <v>193</v>
      </c>
      <c r="C21" s="232" t="s">
        <v>214</v>
      </c>
      <c r="D21" s="219" t="s">
        <v>215</v>
      </c>
      <c r="E21" s="114" t="s">
        <v>201</v>
      </c>
      <c r="F21" s="220">
        <v>292.88</v>
      </c>
      <c r="G21" s="221">
        <v>2.69</v>
      </c>
      <c r="H21" s="161">
        <v>3.36</v>
      </c>
      <c r="I21" s="161">
        <v>984.08</v>
      </c>
      <c r="J21" s="122"/>
    </row>
    <row r="22" spans="1:10" s="38" customFormat="1" ht="36">
      <c r="A22" s="218" t="s">
        <v>216</v>
      </c>
      <c r="B22" s="231" t="s">
        <v>193</v>
      </c>
      <c r="C22" s="232" t="s">
        <v>217</v>
      </c>
      <c r="D22" s="219" t="s">
        <v>218</v>
      </c>
      <c r="E22" s="114" t="s">
        <v>201</v>
      </c>
      <c r="F22" s="220">
        <v>5.67</v>
      </c>
      <c r="G22" s="221">
        <v>3.47</v>
      </c>
      <c r="H22" s="161">
        <v>4.34</v>
      </c>
      <c r="I22" s="161">
        <v>24.61</v>
      </c>
      <c r="J22" s="122"/>
    </row>
    <row r="23" spans="1:10" s="38" customFormat="1" ht="84">
      <c r="A23" s="218" t="s">
        <v>219</v>
      </c>
      <c r="B23" s="231" t="s">
        <v>220</v>
      </c>
      <c r="C23" s="232" t="s">
        <v>221</v>
      </c>
      <c r="D23" s="219" t="s">
        <v>222</v>
      </c>
      <c r="E23" s="114" t="s">
        <v>223</v>
      </c>
      <c r="F23" s="220">
        <v>5.67</v>
      </c>
      <c r="G23" s="221">
        <v>15.27</v>
      </c>
      <c r="H23" s="161">
        <v>19.09</v>
      </c>
      <c r="I23" s="161">
        <v>108.24</v>
      </c>
      <c r="J23" s="122"/>
    </row>
    <row r="24" spans="1:10" s="38" customFormat="1" ht="72">
      <c r="A24" s="218" t="s">
        <v>224</v>
      </c>
      <c r="B24" s="231" t="s">
        <v>220</v>
      </c>
      <c r="C24" s="232" t="s">
        <v>225</v>
      </c>
      <c r="D24" s="219" t="s">
        <v>226</v>
      </c>
      <c r="E24" s="114" t="s">
        <v>223</v>
      </c>
      <c r="F24" s="220">
        <v>141.97999999999999</v>
      </c>
      <c r="G24" s="221">
        <v>18.07</v>
      </c>
      <c r="H24" s="161">
        <v>22.59</v>
      </c>
      <c r="I24" s="161">
        <v>3207.33</v>
      </c>
      <c r="J24" s="122"/>
    </row>
    <row r="25" spans="1:10" s="38" customFormat="1" ht="36">
      <c r="A25" s="218" t="s">
        <v>227</v>
      </c>
      <c r="B25" s="231" t="s">
        <v>193</v>
      </c>
      <c r="C25" s="232" t="s">
        <v>228</v>
      </c>
      <c r="D25" s="219" t="s">
        <v>229</v>
      </c>
      <c r="E25" s="114" t="s">
        <v>230</v>
      </c>
      <c r="F25" s="220">
        <v>0.67</v>
      </c>
      <c r="G25" s="221">
        <v>54.77</v>
      </c>
      <c r="H25" s="161">
        <v>68.459999999999994</v>
      </c>
      <c r="I25" s="161">
        <v>45.87</v>
      </c>
      <c r="J25" s="122"/>
    </row>
    <row r="26" spans="1:10" s="38" customFormat="1" ht="36">
      <c r="A26" s="218" t="s">
        <v>231</v>
      </c>
      <c r="B26" s="231" t="s">
        <v>193</v>
      </c>
      <c r="C26" s="232" t="s">
        <v>232</v>
      </c>
      <c r="D26" s="219" t="s">
        <v>233</v>
      </c>
      <c r="E26" s="114" t="s">
        <v>201</v>
      </c>
      <c r="F26" s="220">
        <v>241.65</v>
      </c>
      <c r="G26" s="221">
        <v>11.14</v>
      </c>
      <c r="H26" s="161">
        <v>13.92</v>
      </c>
      <c r="I26" s="161">
        <v>3363.77</v>
      </c>
      <c r="J26" s="122"/>
    </row>
    <row r="27" spans="1:10" s="122" customFormat="1">
      <c r="A27" s="214" t="s">
        <v>234</v>
      </c>
      <c r="B27" s="190"/>
      <c r="C27" s="214"/>
      <c r="D27" s="215" t="s">
        <v>89</v>
      </c>
      <c r="E27" s="190"/>
      <c r="F27" s="216"/>
      <c r="G27" s="217"/>
      <c r="H27" s="186"/>
      <c r="I27" s="186">
        <v>325.56</v>
      </c>
    </row>
    <row r="28" spans="1:10" s="38" customFormat="1" ht="48">
      <c r="A28" s="218" t="s">
        <v>235</v>
      </c>
      <c r="B28" s="231" t="s">
        <v>193</v>
      </c>
      <c r="C28" s="232" t="s">
        <v>236</v>
      </c>
      <c r="D28" s="219" t="s">
        <v>237</v>
      </c>
      <c r="E28" s="114" t="s">
        <v>201</v>
      </c>
      <c r="F28" s="220">
        <v>2.64</v>
      </c>
      <c r="G28" s="221">
        <v>98.66</v>
      </c>
      <c r="H28" s="161">
        <v>123.32</v>
      </c>
      <c r="I28" s="161">
        <v>325.56</v>
      </c>
      <c r="J28" s="122"/>
    </row>
    <row r="29" spans="1:10" s="122" customFormat="1">
      <c r="A29" s="214" t="s">
        <v>238</v>
      </c>
      <c r="B29" s="190"/>
      <c r="C29" s="214"/>
      <c r="D29" s="215" t="s">
        <v>173</v>
      </c>
      <c r="E29" s="190"/>
      <c r="F29" s="216"/>
      <c r="G29" s="217"/>
      <c r="H29" s="186"/>
      <c r="I29" s="186">
        <v>4338.07</v>
      </c>
    </row>
    <row r="30" spans="1:10" s="38" customFormat="1" ht="60">
      <c r="A30" s="218" t="s">
        <v>239</v>
      </c>
      <c r="B30" s="231" t="s">
        <v>220</v>
      </c>
      <c r="C30" s="232" t="s">
        <v>240</v>
      </c>
      <c r="D30" s="219" t="s">
        <v>241</v>
      </c>
      <c r="E30" s="114" t="s">
        <v>223</v>
      </c>
      <c r="F30" s="220">
        <v>12.1</v>
      </c>
      <c r="G30" s="221">
        <v>10.119999999999999</v>
      </c>
      <c r="H30" s="161">
        <v>12.65</v>
      </c>
      <c r="I30" s="161">
        <v>153.07</v>
      </c>
      <c r="J30" s="122"/>
    </row>
    <row r="31" spans="1:10" s="38" customFormat="1" ht="72">
      <c r="A31" s="218" t="s">
        <v>242</v>
      </c>
      <c r="B31" s="231" t="s">
        <v>220</v>
      </c>
      <c r="C31" s="232" t="s">
        <v>243</v>
      </c>
      <c r="D31" s="219" t="s">
        <v>244</v>
      </c>
      <c r="E31" s="114" t="s">
        <v>127</v>
      </c>
      <c r="F31" s="220">
        <v>24.2</v>
      </c>
      <c r="G31" s="221">
        <v>42.22</v>
      </c>
      <c r="H31" s="161">
        <v>52.77</v>
      </c>
      <c r="I31" s="161">
        <v>1277.03</v>
      </c>
      <c r="J31" s="122"/>
    </row>
    <row r="32" spans="1:10" s="38" customFormat="1" ht="60">
      <c r="A32" s="218" t="s">
        <v>245</v>
      </c>
      <c r="B32" s="231" t="s">
        <v>220</v>
      </c>
      <c r="C32" s="232" t="s">
        <v>246</v>
      </c>
      <c r="D32" s="219" t="s">
        <v>247</v>
      </c>
      <c r="E32" s="114" t="s">
        <v>248</v>
      </c>
      <c r="F32" s="220">
        <v>202</v>
      </c>
      <c r="G32" s="221">
        <v>7.59</v>
      </c>
      <c r="H32" s="161">
        <v>9.49</v>
      </c>
      <c r="I32" s="161">
        <v>1916.98</v>
      </c>
      <c r="J32" s="122"/>
    </row>
    <row r="33" spans="1:10" s="38" customFormat="1" ht="60">
      <c r="A33" s="218" t="s">
        <v>249</v>
      </c>
      <c r="B33" s="231" t="s">
        <v>220</v>
      </c>
      <c r="C33" s="232" t="s">
        <v>250</v>
      </c>
      <c r="D33" s="219" t="s">
        <v>251</v>
      </c>
      <c r="E33" s="114" t="s">
        <v>127</v>
      </c>
      <c r="F33" s="220">
        <v>24.2</v>
      </c>
      <c r="G33" s="221">
        <v>9.7200000000000006</v>
      </c>
      <c r="H33" s="161">
        <v>12.15</v>
      </c>
      <c r="I33" s="161">
        <v>294.02999999999997</v>
      </c>
      <c r="J33" s="122"/>
    </row>
    <row r="34" spans="1:10" s="38" customFormat="1" ht="48">
      <c r="A34" s="218" t="s">
        <v>252</v>
      </c>
      <c r="B34" s="231" t="s">
        <v>220</v>
      </c>
      <c r="C34" s="232" t="s">
        <v>253</v>
      </c>
      <c r="D34" s="219" t="s">
        <v>254</v>
      </c>
      <c r="E34" s="114" t="s">
        <v>223</v>
      </c>
      <c r="F34" s="220">
        <v>12.1</v>
      </c>
      <c r="G34" s="221">
        <v>13.38</v>
      </c>
      <c r="H34" s="161">
        <v>16.72</v>
      </c>
      <c r="I34" s="161">
        <v>202.31</v>
      </c>
      <c r="J34" s="122"/>
    </row>
    <row r="35" spans="1:10" s="38" customFormat="1" ht="72">
      <c r="A35" s="218" t="s">
        <v>255</v>
      </c>
      <c r="B35" s="231" t="s">
        <v>220</v>
      </c>
      <c r="C35" s="232" t="s">
        <v>256</v>
      </c>
      <c r="D35" s="219" t="s">
        <v>257</v>
      </c>
      <c r="E35" s="114" t="s">
        <v>223</v>
      </c>
      <c r="F35" s="220">
        <v>12.1</v>
      </c>
      <c r="G35" s="221">
        <v>32.71</v>
      </c>
      <c r="H35" s="161">
        <v>40.880000000000003</v>
      </c>
      <c r="I35" s="161">
        <v>494.65</v>
      </c>
      <c r="J35" s="122"/>
    </row>
    <row r="36" spans="1:10" s="122" customFormat="1">
      <c r="A36" s="214" t="s">
        <v>258</v>
      </c>
      <c r="B36" s="190"/>
      <c r="C36" s="214"/>
      <c r="D36" s="215" t="s">
        <v>174</v>
      </c>
      <c r="E36" s="190"/>
      <c r="F36" s="216"/>
      <c r="G36" s="217"/>
      <c r="H36" s="186"/>
      <c r="I36" s="186">
        <v>26483.37</v>
      </c>
    </row>
    <row r="37" spans="1:10" s="38" customFormat="1" ht="60">
      <c r="A37" s="218" t="s">
        <v>259</v>
      </c>
      <c r="B37" s="231" t="s">
        <v>193</v>
      </c>
      <c r="C37" s="232" t="s">
        <v>260</v>
      </c>
      <c r="D37" s="219" t="s">
        <v>261</v>
      </c>
      <c r="E37" s="114" t="s">
        <v>201</v>
      </c>
      <c r="F37" s="220">
        <v>243.57</v>
      </c>
      <c r="G37" s="221">
        <v>4.5199999999999996</v>
      </c>
      <c r="H37" s="161">
        <v>5.65</v>
      </c>
      <c r="I37" s="161">
        <v>1376.17</v>
      </c>
      <c r="J37" s="122"/>
    </row>
    <row r="38" spans="1:10" s="38" customFormat="1" ht="72">
      <c r="A38" s="218" t="s">
        <v>262</v>
      </c>
      <c r="B38" s="231" t="s">
        <v>220</v>
      </c>
      <c r="C38" s="232" t="s">
        <v>263</v>
      </c>
      <c r="D38" s="219" t="s">
        <v>264</v>
      </c>
      <c r="E38" s="114" t="s">
        <v>223</v>
      </c>
      <c r="F38" s="220">
        <v>243.57</v>
      </c>
      <c r="G38" s="221">
        <v>52.1</v>
      </c>
      <c r="H38" s="161">
        <v>65.12</v>
      </c>
      <c r="I38" s="161">
        <v>15861.28</v>
      </c>
      <c r="J38" s="122"/>
    </row>
    <row r="39" spans="1:10" s="38" customFormat="1" ht="36">
      <c r="A39" s="218" t="s">
        <v>265</v>
      </c>
      <c r="B39" s="231" t="s">
        <v>193</v>
      </c>
      <c r="C39" s="232" t="s">
        <v>266</v>
      </c>
      <c r="D39" s="219" t="s">
        <v>267</v>
      </c>
      <c r="E39" s="114" t="s">
        <v>201</v>
      </c>
      <c r="F39" s="220">
        <v>243.57</v>
      </c>
      <c r="G39" s="221">
        <v>30.37</v>
      </c>
      <c r="H39" s="161">
        <v>37.96</v>
      </c>
      <c r="I39" s="161">
        <v>9245.92</v>
      </c>
      <c r="J39" s="122"/>
    </row>
    <row r="40" spans="1:10" s="122" customFormat="1">
      <c r="A40" s="214" t="s">
        <v>268</v>
      </c>
      <c r="B40" s="190"/>
      <c r="C40" s="214"/>
      <c r="D40" s="215" t="s">
        <v>176</v>
      </c>
      <c r="E40" s="190"/>
      <c r="F40" s="216"/>
      <c r="G40" s="217"/>
      <c r="H40" s="186"/>
      <c r="I40" s="186">
        <v>14619.68</v>
      </c>
    </row>
    <row r="41" spans="1:10" s="38" customFormat="1" ht="60">
      <c r="A41" s="218" t="s">
        <v>269</v>
      </c>
      <c r="B41" s="231" t="s">
        <v>193</v>
      </c>
      <c r="C41" s="232" t="s">
        <v>270</v>
      </c>
      <c r="D41" s="219" t="s">
        <v>271</v>
      </c>
      <c r="E41" s="114" t="s">
        <v>201</v>
      </c>
      <c r="F41" s="220">
        <v>141.97999999999999</v>
      </c>
      <c r="G41" s="221">
        <v>82.38</v>
      </c>
      <c r="H41" s="161">
        <v>102.97</v>
      </c>
      <c r="I41" s="161">
        <v>14619.68</v>
      </c>
      <c r="J41" s="122"/>
    </row>
    <row r="42" spans="1:10" s="122" customFormat="1">
      <c r="A42" s="214" t="s">
        <v>272</v>
      </c>
      <c r="B42" s="190"/>
      <c r="C42" s="214"/>
      <c r="D42" s="215" t="s">
        <v>90</v>
      </c>
      <c r="E42" s="190"/>
      <c r="F42" s="216"/>
      <c r="G42" s="217"/>
      <c r="H42" s="186"/>
      <c r="I42" s="186">
        <v>27520.44</v>
      </c>
    </row>
    <row r="43" spans="1:10" s="38" customFormat="1" ht="36">
      <c r="A43" s="218" t="s">
        <v>273</v>
      </c>
      <c r="B43" s="231" t="s">
        <v>193</v>
      </c>
      <c r="C43" s="232" t="s">
        <v>274</v>
      </c>
      <c r="D43" s="219" t="s">
        <v>275</v>
      </c>
      <c r="E43" s="114" t="s">
        <v>201</v>
      </c>
      <c r="F43" s="220">
        <v>821.36</v>
      </c>
      <c r="G43" s="221">
        <v>4.32</v>
      </c>
      <c r="H43" s="161">
        <v>5.4</v>
      </c>
      <c r="I43" s="161">
        <v>4435.34</v>
      </c>
      <c r="J43" s="122"/>
    </row>
    <row r="44" spans="1:10" s="38" customFormat="1" ht="48">
      <c r="A44" s="218" t="s">
        <v>276</v>
      </c>
      <c r="B44" s="231" t="s">
        <v>220</v>
      </c>
      <c r="C44" s="232" t="s">
        <v>277</v>
      </c>
      <c r="D44" s="219" t="s">
        <v>278</v>
      </c>
      <c r="E44" s="114" t="s">
        <v>223</v>
      </c>
      <c r="F44" s="220">
        <v>243.57</v>
      </c>
      <c r="G44" s="221">
        <v>26.59</v>
      </c>
      <c r="H44" s="161">
        <v>33.229999999999997</v>
      </c>
      <c r="I44" s="161">
        <v>8093.83</v>
      </c>
      <c r="J44" s="122"/>
    </row>
    <row r="45" spans="1:10" s="38" customFormat="1" ht="36">
      <c r="A45" s="218" t="s">
        <v>279</v>
      </c>
      <c r="B45" s="231" t="s">
        <v>193</v>
      </c>
      <c r="C45" s="232" t="s">
        <v>280</v>
      </c>
      <c r="D45" s="219" t="s">
        <v>281</v>
      </c>
      <c r="E45" s="114" t="s">
        <v>201</v>
      </c>
      <c r="F45" s="220">
        <v>577.78</v>
      </c>
      <c r="G45" s="221">
        <v>12.75</v>
      </c>
      <c r="H45" s="161">
        <v>15.94</v>
      </c>
      <c r="I45" s="161">
        <v>9209.81</v>
      </c>
      <c r="J45" s="122"/>
    </row>
    <row r="46" spans="1:10" s="38" customFormat="1" ht="48">
      <c r="A46" s="218" t="s">
        <v>282</v>
      </c>
      <c r="B46" s="231" t="s">
        <v>220</v>
      </c>
      <c r="C46" s="232" t="s">
        <v>283</v>
      </c>
      <c r="D46" s="219" t="s">
        <v>284</v>
      </c>
      <c r="E46" s="114" t="s">
        <v>223</v>
      </c>
      <c r="F46" s="220">
        <v>93.87</v>
      </c>
      <c r="G46" s="221">
        <v>31.45</v>
      </c>
      <c r="H46" s="161">
        <v>39.31</v>
      </c>
      <c r="I46" s="161">
        <v>3690.03</v>
      </c>
      <c r="J46" s="122"/>
    </row>
    <row r="47" spans="1:10" s="38" customFormat="1" ht="36">
      <c r="A47" s="218" t="s">
        <v>285</v>
      </c>
      <c r="B47" s="231" t="s">
        <v>220</v>
      </c>
      <c r="C47" s="232" t="s">
        <v>286</v>
      </c>
      <c r="D47" s="219" t="s">
        <v>287</v>
      </c>
      <c r="E47" s="114" t="s">
        <v>223</v>
      </c>
      <c r="F47" s="220">
        <v>43.91</v>
      </c>
      <c r="G47" s="221">
        <v>38.11</v>
      </c>
      <c r="H47" s="161">
        <v>47.63</v>
      </c>
      <c r="I47" s="161">
        <v>2091.4299999999998</v>
      </c>
      <c r="J47" s="122"/>
    </row>
    <row r="48" spans="1:10" s="122" customFormat="1">
      <c r="A48" s="214" t="s">
        <v>288</v>
      </c>
      <c r="B48" s="190"/>
      <c r="C48" s="214"/>
      <c r="D48" s="215" t="s">
        <v>289</v>
      </c>
      <c r="E48" s="190"/>
      <c r="F48" s="216"/>
      <c r="G48" s="217"/>
      <c r="H48" s="186"/>
      <c r="I48" s="186">
        <v>37364.559999999998</v>
      </c>
    </row>
    <row r="49" spans="1:10" s="38" customFormat="1" ht="48">
      <c r="A49" s="218" t="s">
        <v>290</v>
      </c>
      <c r="B49" s="231" t="s">
        <v>193</v>
      </c>
      <c r="C49" s="232" t="s">
        <v>291</v>
      </c>
      <c r="D49" s="219" t="s">
        <v>292</v>
      </c>
      <c r="E49" s="114" t="s">
        <v>293</v>
      </c>
      <c r="F49" s="220">
        <v>50.41</v>
      </c>
      <c r="G49" s="221">
        <v>65.849999999999994</v>
      </c>
      <c r="H49" s="161">
        <v>82.31</v>
      </c>
      <c r="I49" s="161">
        <v>4149.25</v>
      </c>
      <c r="J49" s="122"/>
    </row>
    <row r="50" spans="1:10" s="38" customFormat="1" ht="48">
      <c r="A50" s="218" t="s">
        <v>294</v>
      </c>
      <c r="B50" s="231" t="s">
        <v>193</v>
      </c>
      <c r="C50" s="232" t="s">
        <v>295</v>
      </c>
      <c r="D50" s="219" t="s">
        <v>296</v>
      </c>
      <c r="E50" s="114" t="s">
        <v>201</v>
      </c>
      <c r="F50" s="220">
        <v>292.88</v>
      </c>
      <c r="G50" s="221">
        <v>76.239999999999995</v>
      </c>
      <c r="H50" s="161">
        <v>95.29</v>
      </c>
      <c r="I50" s="161">
        <v>27908.54</v>
      </c>
      <c r="J50" s="122"/>
    </row>
    <row r="51" spans="1:10" s="38" customFormat="1" ht="36">
      <c r="A51" s="218" t="s">
        <v>297</v>
      </c>
      <c r="B51" s="231" t="s">
        <v>193</v>
      </c>
      <c r="C51" s="232" t="s">
        <v>298</v>
      </c>
      <c r="D51" s="219" t="s">
        <v>299</v>
      </c>
      <c r="E51" s="114" t="s">
        <v>293</v>
      </c>
      <c r="F51" s="220">
        <v>251.28</v>
      </c>
      <c r="G51" s="221">
        <v>12.38</v>
      </c>
      <c r="H51" s="161">
        <v>15.47</v>
      </c>
      <c r="I51" s="161">
        <v>3887.3</v>
      </c>
      <c r="J51" s="122"/>
    </row>
    <row r="52" spans="1:10" s="38" customFormat="1" ht="72">
      <c r="A52" s="218" t="s">
        <v>300</v>
      </c>
      <c r="B52" s="231" t="s">
        <v>193</v>
      </c>
      <c r="C52" s="232" t="s">
        <v>301</v>
      </c>
      <c r="D52" s="219" t="s">
        <v>302</v>
      </c>
      <c r="E52" s="114" t="s">
        <v>201</v>
      </c>
      <c r="F52" s="220">
        <v>15.83</v>
      </c>
      <c r="G52" s="221">
        <v>29.69</v>
      </c>
      <c r="H52" s="161">
        <v>37.11</v>
      </c>
      <c r="I52" s="161">
        <v>587.45000000000005</v>
      </c>
      <c r="J52" s="122"/>
    </row>
    <row r="53" spans="1:10" s="38" customFormat="1" ht="72">
      <c r="A53" s="218" t="s">
        <v>303</v>
      </c>
      <c r="B53" s="231" t="s">
        <v>193</v>
      </c>
      <c r="C53" s="232" t="s">
        <v>304</v>
      </c>
      <c r="D53" s="219" t="s">
        <v>305</v>
      </c>
      <c r="E53" s="114" t="s">
        <v>201</v>
      </c>
      <c r="F53" s="220">
        <v>15.83</v>
      </c>
      <c r="G53" s="221">
        <v>42.05</v>
      </c>
      <c r="H53" s="161">
        <v>52.56</v>
      </c>
      <c r="I53" s="161">
        <v>832.02</v>
      </c>
      <c r="J53" s="122"/>
    </row>
    <row r="54" spans="1:10" s="122" customFormat="1">
      <c r="A54" s="214" t="s">
        <v>306</v>
      </c>
      <c r="B54" s="190"/>
      <c r="C54" s="214"/>
      <c r="D54" s="215" t="s">
        <v>91</v>
      </c>
      <c r="E54" s="190"/>
      <c r="F54" s="216"/>
      <c r="G54" s="217"/>
      <c r="H54" s="186"/>
      <c r="I54" s="186">
        <v>14514.05</v>
      </c>
    </row>
    <row r="55" spans="1:10" s="38" customFormat="1" ht="84">
      <c r="A55" s="218" t="s">
        <v>307</v>
      </c>
      <c r="B55" s="231" t="s">
        <v>220</v>
      </c>
      <c r="C55" s="232" t="s">
        <v>308</v>
      </c>
      <c r="D55" s="219" t="s">
        <v>309</v>
      </c>
      <c r="E55" s="114" t="s">
        <v>223</v>
      </c>
      <c r="F55" s="220">
        <v>1.68</v>
      </c>
      <c r="G55" s="221">
        <v>423.74</v>
      </c>
      <c r="H55" s="161">
        <v>529.63</v>
      </c>
      <c r="I55" s="161">
        <v>889.78</v>
      </c>
      <c r="J55" s="122"/>
    </row>
    <row r="56" spans="1:10" s="38" customFormat="1" ht="48">
      <c r="A56" s="218" t="s">
        <v>310</v>
      </c>
      <c r="B56" s="231" t="s">
        <v>193</v>
      </c>
      <c r="C56" s="232" t="s">
        <v>311</v>
      </c>
      <c r="D56" s="219" t="s">
        <v>312</v>
      </c>
      <c r="E56" s="114" t="s">
        <v>201</v>
      </c>
      <c r="F56" s="220">
        <v>2.83</v>
      </c>
      <c r="G56" s="221">
        <v>668.33</v>
      </c>
      <c r="H56" s="161">
        <v>835.35</v>
      </c>
      <c r="I56" s="161">
        <v>2364.04</v>
      </c>
      <c r="J56" s="122"/>
    </row>
    <row r="57" spans="1:10" s="38" customFormat="1" ht="36">
      <c r="A57" s="218" t="s">
        <v>313</v>
      </c>
      <c r="B57" s="231" t="s">
        <v>204</v>
      </c>
      <c r="C57" s="232" t="s">
        <v>314</v>
      </c>
      <c r="D57" s="219" t="s">
        <v>315</v>
      </c>
      <c r="E57" s="114" t="s">
        <v>316</v>
      </c>
      <c r="F57" s="220">
        <v>10</v>
      </c>
      <c r="G57" s="221">
        <v>279.5</v>
      </c>
      <c r="H57" s="161">
        <v>349.35</v>
      </c>
      <c r="I57" s="161">
        <v>3493.5</v>
      </c>
      <c r="J57" s="122"/>
    </row>
    <row r="58" spans="1:10" s="38" customFormat="1" ht="36">
      <c r="A58" s="218" t="s">
        <v>317</v>
      </c>
      <c r="B58" s="231" t="s">
        <v>204</v>
      </c>
      <c r="C58" s="232" t="s">
        <v>318</v>
      </c>
      <c r="D58" s="219" t="s">
        <v>319</v>
      </c>
      <c r="E58" s="114" t="s">
        <v>316</v>
      </c>
      <c r="F58" s="220">
        <v>1</v>
      </c>
      <c r="G58" s="221">
        <v>352.2</v>
      </c>
      <c r="H58" s="161">
        <v>440.21</v>
      </c>
      <c r="I58" s="161">
        <v>440.21</v>
      </c>
      <c r="J58" s="122"/>
    </row>
    <row r="59" spans="1:10" s="38" customFormat="1" ht="48">
      <c r="A59" s="218" t="s">
        <v>320</v>
      </c>
      <c r="B59" s="231" t="s">
        <v>193</v>
      </c>
      <c r="C59" s="232" t="s">
        <v>321</v>
      </c>
      <c r="D59" s="219" t="s">
        <v>322</v>
      </c>
      <c r="E59" s="114" t="s">
        <v>316</v>
      </c>
      <c r="F59" s="220">
        <v>11</v>
      </c>
      <c r="G59" s="221">
        <v>146.52000000000001</v>
      </c>
      <c r="H59" s="161">
        <v>183.14</v>
      </c>
      <c r="I59" s="161">
        <v>2014.54</v>
      </c>
      <c r="J59" s="122"/>
    </row>
    <row r="60" spans="1:10" s="38" customFormat="1" ht="36">
      <c r="A60" s="218" t="s">
        <v>323</v>
      </c>
      <c r="B60" s="231" t="s">
        <v>193</v>
      </c>
      <c r="C60" s="232" t="s">
        <v>324</v>
      </c>
      <c r="D60" s="219" t="s">
        <v>325</v>
      </c>
      <c r="E60" s="114" t="s">
        <v>201</v>
      </c>
      <c r="F60" s="220">
        <v>0.24</v>
      </c>
      <c r="G60" s="221">
        <v>339.45</v>
      </c>
      <c r="H60" s="161">
        <v>424.28</v>
      </c>
      <c r="I60" s="161">
        <v>101.83</v>
      </c>
      <c r="J60" s="122"/>
    </row>
    <row r="61" spans="1:10" s="38" customFormat="1" ht="84">
      <c r="A61" s="218" t="s">
        <v>326</v>
      </c>
      <c r="B61" s="231" t="s">
        <v>193</v>
      </c>
      <c r="C61" s="232" t="s">
        <v>327</v>
      </c>
      <c r="D61" s="219" t="s">
        <v>328</v>
      </c>
      <c r="E61" s="114" t="s">
        <v>316</v>
      </c>
      <c r="F61" s="220">
        <v>2</v>
      </c>
      <c r="G61" s="221">
        <v>1109.1199999999999</v>
      </c>
      <c r="H61" s="161">
        <v>1386.29</v>
      </c>
      <c r="I61" s="161">
        <v>2772.58</v>
      </c>
      <c r="J61" s="122"/>
    </row>
    <row r="62" spans="1:10" s="38" customFormat="1" ht="72">
      <c r="A62" s="218" t="s">
        <v>329</v>
      </c>
      <c r="B62" s="231" t="s">
        <v>193</v>
      </c>
      <c r="C62" s="232" t="s">
        <v>330</v>
      </c>
      <c r="D62" s="219" t="s">
        <v>331</v>
      </c>
      <c r="E62" s="114" t="s">
        <v>201</v>
      </c>
      <c r="F62" s="220">
        <v>3</v>
      </c>
      <c r="G62" s="221">
        <v>407.82</v>
      </c>
      <c r="H62" s="161">
        <v>509.73</v>
      </c>
      <c r="I62" s="161">
        <v>1529.19</v>
      </c>
      <c r="J62" s="122"/>
    </row>
    <row r="63" spans="1:10" s="38" customFormat="1" ht="84">
      <c r="A63" s="218" t="s">
        <v>332</v>
      </c>
      <c r="B63" s="231" t="s">
        <v>220</v>
      </c>
      <c r="C63" s="232" t="s">
        <v>333</v>
      </c>
      <c r="D63" s="219" t="s">
        <v>334</v>
      </c>
      <c r="E63" s="114" t="s">
        <v>248</v>
      </c>
      <c r="F63" s="220">
        <v>3</v>
      </c>
      <c r="G63" s="221">
        <v>138.57</v>
      </c>
      <c r="H63" s="161">
        <v>173.2</v>
      </c>
      <c r="I63" s="161">
        <v>519.6</v>
      </c>
      <c r="J63" s="122"/>
    </row>
    <row r="64" spans="1:10" s="38" customFormat="1" ht="36">
      <c r="A64" s="218" t="s">
        <v>335</v>
      </c>
      <c r="B64" s="231" t="s">
        <v>220</v>
      </c>
      <c r="C64" s="232" t="s">
        <v>336</v>
      </c>
      <c r="D64" s="219" t="s">
        <v>337</v>
      </c>
      <c r="E64" s="114" t="s">
        <v>223</v>
      </c>
      <c r="F64" s="220">
        <v>0.8</v>
      </c>
      <c r="G64" s="221">
        <v>388.81</v>
      </c>
      <c r="H64" s="161">
        <v>485.97</v>
      </c>
      <c r="I64" s="161">
        <v>388.78</v>
      </c>
      <c r="J64" s="122"/>
    </row>
    <row r="65" spans="1:10" s="122" customFormat="1">
      <c r="A65" s="214" t="s">
        <v>338</v>
      </c>
      <c r="B65" s="190"/>
      <c r="C65" s="214"/>
      <c r="D65" s="215" t="s">
        <v>180</v>
      </c>
      <c r="E65" s="190"/>
      <c r="F65" s="216"/>
      <c r="G65" s="217"/>
      <c r="H65" s="186"/>
      <c r="I65" s="186">
        <v>6121.6</v>
      </c>
    </row>
    <row r="66" spans="1:10" s="38" customFormat="1" ht="96">
      <c r="A66" s="218" t="s">
        <v>339</v>
      </c>
      <c r="B66" s="231" t="s">
        <v>220</v>
      </c>
      <c r="C66" s="232" t="s">
        <v>340</v>
      </c>
      <c r="D66" s="219" t="s">
        <v>341</v>
      </c>
      <c r="E66" s="114" t="s">
        <v>248</v>
      </c>
      <c r="F66" s="220">
        <v>2</v>
      </c>
      <c r="G66" s="221">
        <v>528.25</v>
      </c>
      <c r="H66" s="161">
        <v>660.26</v>
      </c>
      <c r="I66" s="161">
        <v>1320.52</v>
      </c>
      <c r="J66" s="122"/>
    </row>
    <row r="67" spans="1:10" s="38" customFormat="1" ht="96">
      <c r="A67" s="218" t="s">
        <v>342</v>
      </c>
      <c r="B67" s="231" t="s">
        <v>220</v>
      </c>
      <c r="C67" s="232" t="s">
        <v>343</v>
      </c>
      <c r="D67" s="219" t="s">
        <v>344</v>
      </c>
      <c r="E67" s="114" t="s">
        <v>248</v>
      </c>
      <c r="F67" s="220">
        <v>1</v>
      </c>
      <c r="G67" s="221">
        <v>136.30000000000001</v>
      </c>
      <c r="H67" s="161">
        <v>170.36</v>
      </c>
      <c r="I67" s="161">
        <v>170.36</v>
      </c>
      <c r="J67" s="122"/>
    </row>
    <row r="68" spans="1:10" s="38" customFormat="1" ht="120">
      <c r="A68" s="218" t="s">
        <v>345</v>
      </c>
      <c r="B68" s="231" t="s">
        <v>220</v>
      </c>
      <c r="C68" s="232" t="s">
        <v>346</v>
      </c>
      <c r="D68" s="219" t="s">
        <v>347</v>
      </c>
      <c r="E68" s="114" t="s">
        <v>248</v>
      </c>
      <c r="F68" s="220">
        <v>1</v>
      </c>
      <c r="G68" s="221">
        <v>157.24</v>
      </c>
      <c r="H68" s="161">
        <v>196.53</v>
      </c>
      <c r="I68" s="161">
        <v>196.53</v>
      </c>
      <c r="J68" s="122"/>
    </row>
    <row r="69" spans="1:10" s="38" customFormat="1" ht="96">
      <c r="A69" s="218" t="s">
        <v>348</v>
      </c>
      <c r="B69" s="231" t="s">
        <v>220</v>
      </c>
      <c r="C69" s="232" t="s">
        <v>349</v>
      </c>
      <c r="D69" s="219" t="s">
        <v>350</v>
      </c>
      <c r="E69" s="114" t="s">
        <v>223</v>
      </c>
      <c r="F69" s="220">
        <v>1.82</v>
      </c>
      <c r="G69" s="221">
        <v>357.11</v>
      </c>
      <c r="H69" s="161">
        <v>446.35</v>
      </c>
      <c r="I69" s="161">
        <v>812.36</v>
      </c>
      <c r="J69" s="122"/>
    </row>
    <row r="70" spans="1:10" s="38" customFormat="1" ht="36">
      <c r="A70" s="218" t="s">
        <v>351</v>
      </c>
      <c r="B70" s="231" t="s">
        <v>220</v>
      </c>
      <c r="C70" s="232" t="s">
        <v>352</v>
      </c>
      <c r="D70" s="219" t="s">
        <v>353</v>
      </c>
      <c r="E70" s="114" t="s">
        <v>223</v>
      </c>
      <c r="F70" s="220">
        <v>2.7</v>
      </c>
      <c r="G70" s="221">
        <v>276.97000000000003</v>
      </c>
      <c r="H70" s="161">
        <v>346.18</v>
      </c>
      <c r="I70" s="161">
        <v>934.69</v>
      </c>
      <c r="J70" s="122"/>
    </row>
    <row r="71" spans="1:10" s="38" customFormat="1" ht="24">
      <c r="A71" s="218" t="s">
        <v>354</v>
      </c>
      <c r="B71" s="231" t="s">
        <v>193</v>
      </c>
      <c r="C71" s="232" t="s">
        <v>355</v>
      </c>
      <c r="D71" s="219" t="s">
        <v>356</v>
      </c>
      <c r="E71" s="114" t="s">
        <v>293</v>
      </c>
      <c r="F71" s="220">
        <v>3.3</v>
      </c>
      <c r="G71" s="221">
        <v>62.39</v>
      </c>
      <c r="H71" s="161">
        <v>77.98</v>
      </c>
      <c r="I71" s="161">
        <v>257.33</v>
      </c>
      <c r="J71" s="122"/>
    </row>
    <row r="72" spans="1:10" s="38" customFormat="1" ht="60">
      <c r="A72" s="218" t="s">
        <v>357</v>
      </c>
      <c r="B72" s="231" t="s">
        <v>220</v>
      </c>
      <c r="C72" s="232" t="s">
        <v>358</v>
      </c>
      <c r="D72" s="219" t="s">
        <v>359</v>
      </c>
      <c r="E72" s="114" t="s">
        <v>127</v>
      </c>
      <c r="F72" s="220">
        <v>2.6</v>
      </c>
      <c r="G72" s="221">
        <v>51.13</v>
      </c>
      <c r="H72" s="161">
        <v>63.91</v>
      </c>
      <c r="I72" s="161">
        <v>166.17</v>
      </c>
      <c r="J72" s="122"/>
    </row>
    <row r="73" spans="1:10" s="38" customFormat="1" ht="24">
      <c r="A73" s="218" t="s">
        <v>360</v>
      </c>
      <c r="B73" s="231" t="s">
        <v>220</v>
      </c>
      <c r="C73" s="232" t="s">
        <v>361</v>
      </c>
      <c r="D73" s="219" t="s">
        <v>362</v>
      </c>
      <c r="E73" s="114" t="s">
        <v>127</v>
      </c>
      <c r="F73" s="220">
        <v>4</v>
      </c>
      <c r="G73" s="221">
        <v>14.56</v>
      </c>
      <c r="H73" s="161">
        <v>18.2</v>
      </c>
      <c r="I73" s="161">
        <v>72.8</v>
      </c>
      <c r="J73" s="122"/>
    </row>
    <row r="74" spans="1:10" s="38" customFormat="1" ht="96">
      <c r="A74" s="218" t="s">
        <v>363</v>
      </c>
      <c r="B74" s="231" t="s">
        <v>220</v>
      </c>
      <c r="C74" s="232" t="s">
        <v>364</v>
      </c>
      <c r="D74" s="219" t="s">
        <v>365</v>
      </c>
      <c r="E74" s="114" t="s">
        <v>248</v>
      </c>
      <c r="F74" s="220">
        <v>1</v>
      </c>
      <c r="G74" s="221">
        <v>1134.06</v>
      </c>
      <c r="H74" s="161">
        <v>1417.46</v>
      </c>
      <c r="I74" s="161">
        <v>1417.46</v>
      </c>
      <c r="J74" s="122"/>
    </row>
    <row r="75" spans="1:10" s="38" customFormat="1" ht="48">
      <c r="A75" s="218" t="s">
        <v>366</v>
      </c>
      <c r="B75" s="231" t="s">
        <v>193</v>
      </c>
      <c r="C75" s="232" t="s">
        <v>367</v>
      </c>
      <c r="D75" s="219" t="s">
        <v>368</v>
      </c>
      <c r="E75" s="114" t="s">
        <v>316</v>
      </c>
      <c r="F75" s="220">
        <v>1</v>
      </c>
      <c r="G75" s="221">
        <v>132.69</v>
      </c>
      <c r="H75" s="161">
        <v>165.85</v>
      </c>
      <c r="I75" s="161">
        <v>165.85</v>
      </c>
      <c r="J75" s="122"/>
    </row>
    <row r="76" spans="1:10" s="38" customFormat="1" ht="48">
      <c r="A76" s="218" t="s">
        <v>369</v>
      </c>
      <c r="B76" s="231" t="s">
        <v>193</v>
      </c>
      <c r="C76" s="232" t="s">
        <v>370</v>
      </c>
      <c r="D76" s="219" t="s">
        <v>371</v>
      </c>
      <c r="E76" s="114" t="s">
        <v>293</v>
      </c>
      <c r="F76" s="220">
        <v>3</v>
      </c>
      <c r="G76" s="221">
        <v>85.59</v>
      </c>
      <c r="H76" s="161">
        <v>106.98</v>
      </c>
      <c r="I76" s="161">
        <v>320.94</v>
      </c>
      <c r="J76" s="122"/>
    </row>
    <row r="77" spans="1:10" s="38" customFormat="1" ht="36">
      <c r="A77" s="218" t="s">
        <v>372</v>
      </c>
      <c r="B77" s="231" t="s">
        <v>220</v>
      </c>
      <c r="C77" s="232" t="s">
        <v>373</v>
      </c>
      <c r="D77" s="219" t="s">
        <v>374</v>
      </c>
      <c r="E77" s="114" t="s">
        <v>375</v>
      </c>
      <c r="F77" s="220">
        <v>0.08</v>
      </c>
      <c r="G77" s="221">
        <v>2866.11</v>
      </c>
      <c r="H77" s="161">
        <v>3582.35</v>
      </c>
      <c r="I77" s="161">
        <v>286.58999999999997</v>
      </c>
      <c r="J77" s="122"/>
    </row>
    <row r="78" spans="1:10" s="122" customFormat="1">
      <c r="A78" s="214" t="s">
        <v>376</v>
      </c>
      <c r="B78" s="190"/>
      <c r="C78" s="214"/>
      <c r="D78" s="215" t="s">
        <v>181</v>
      </c>
      <c r="E78" s="190"/>
      <c r="F78" s="216"/>
      <c r="G78" s="217"/>
      <c r="H78" s="186"/>
      <c r="I78" s="186">
        <v>25782.65</v>
      </c>
    </row>
    <row r="79" spans="1:10" s="38" customFormat="1" ht="96">
      <c r="A79" s="218" t="s">
        <v>377</v>
      </c>
      <c r="B79" s="231" t="s">
        <v>220</v>
      </c>
      <c r="C79" s="232" t="s">
        <v>378</v>
      </c>
      <c r="D79" s="219" t="s">
        <v>379</v>
      </c>
      <c r="E79" s="114" t="s">
        <v>248</v>
      </c>
      <c r="F79" s="220">
        <v>45</v>
      </c>
      <c r="G79" s="221">
        <v>6.31</v>
      </c>
      <c r="H79" s="161">
        <v>7.89</v>
      </c>
      <c r="I79" s="161">
        <v>355.05</v>
      </c>
      <c r="J79" s="122"/>
    </row>
    <row r="80" spans="1:10" ht="24">
      <c r="A80" s="218" t="s">
        <v>380</v>
      </c>
      <c r="B80" s="231" t="s">
        <v>204</v>
      </c>
      <c r="C80" s="232" t="s">
        <v>381</v>
      </c>
      <c r="D80" s="219" t="s">
        <v>382</v>
      </c>
      <c r="E80" s="114" t="s">
        <v>383</v>
      </c>
      <c r="F80" s="220">
        <v>43</v>
      </c>
      <c r="G80" s="221">
        <v>19.07</v>
      </c>
      <c r="H80" s="161">
        <v>23.84</v>
      </c>
      <c r="I80" s="161">
        <v>1025.1199999999999</v>
      </c>
    </row>
    <row r="81" spans="1:10" ht="24">
      <c r="A81" s="218" t="s">
        <v>384</v>
      </c>
      <c r="B81" s="231" t="s">
        <v>204</v>
      </c>
      <c r="C81" s="232" t="s">
        <v>385</v>
      </c>
      <c r="D81" s="219" t="s">
        <v>386</v>
      </c>
      <c r="E81" s="114" t="s">
        <v>387</v>
      </c>
      <c r="F81" s="220">
        <v>82</v>
      </c>
      <c r="G81" s="221">
        <v>43.05</v>
      </c>
      <c r="H81" s="161">
        <v>53.81</v>
      </c>
      <c r="I81" s="161">
        <v>4412.42</v>
      </c>
    </row>
    <row r="82" spans="1:10" ht="48">
      <c r="A82" s="218" t="s">
        <v>388</v>
      </c>
      <c r="B82" s="231" t="s">
        <v>220</v>
      </c>
      <c r="C82" s="232" t="s">
        <v>389</v>
      </c>
      <c r="D82" s="219" t="s">
        <v>390</v>
      </c>
      <c r="E82" s="114" t="s">
        <v>248</v>
      </c>
      <c r="F82" s="220">
        <v>84</v>
      </c>
      <c r="G82" s="221">
        <v>11.12</v>
      </c>
      <c r="H82" s="161">
        <v>13.9</v>
      </c>
      <c r="I82" s="161">
        <v>1167.5999999999999</v>
      </c>
    </row>
    <row r="83" spans="1:10" ht="48">
      <c r="A83" s="218" t="s">
        <v>391</v>
      </c>
      <c r="B83" s="231" t="s">
        <v>193</v>
      </c>
      <c r="C83" s="232" t="s">
        <v>392</v>
      </c>
      <c r="D83" s="219" t="s">
        <v>393</v>
      </c>
      <c r="E83" s="114" t="s">
        <v>293</v>
      </c>
      <c r="F83" s="220">
        <v>1353.33</v>
      </c>
      <c r="G83" s="221">
        <v>4.28</v>
      </c>
      <c r="H83" s="161">
        <v>5.35</v>
      </c>
      <c r="I83" s="161">
        <v>7240.32</v>
      </c>
    </row>
    <row r="84" spans="1:10" ht="36">
      <c r="A84" s="218" t="s">
        <v>394</v>
      </c>
      <c r="B84" s="231" t="s">
        <v>193</v>
      </c>
      <c r="C84" s="232" t="s">
        <v>395</v>
      </c>
      <c r="D84" s="219" t="s">
        <v>396</v>
      </c>
      <c r="E84" s="114" t="s">
        <v>316</v>
      </c>
      <c r="F84" s="220">
        <v>7</v>
      </c>
      <c r="G84" s="221">
        <v>29.4</v>
      </c>
      <c r="H84" s="161">
        <v>36.75</v>
      </c>
      <c r="I84" s="161">
        <v>257.25</v>
      </c>
    </row>
    <row r="85" spans="1:10" ht="48">
      <c r="A85" s="218" t="s">
        <v>397</v>
      </c>
      <c r="B85" s="231" t="s">
        <v>193</v>
      </c>
      <c r="C85" s="232" t="s">
        <v>398</v>
      </c>
      <c r="D85" s="219" t="s">
        <v>399</v>
      </c>
      <c r="E85" s="114" t="s">
        <v>316</v>
      </c>
      <c r="F85" s="220">
        <v>2</v>
      </c>
      <c r="G85" s="221">
        <v>51.1</v>
      </c>
      <c r="H85" s="161">
        <v>63.87</v>
      </c>
      <c r="I85" s="161">
        <v>127.74</v>
      </c>
    </row>
    <row r="86" spans="1:10" ht="48">
      <c r="A86" s="218" t="s">
        <v>400</v>
      </c>
      <c r="B86" s="231" t="s">
        <v>193</v>
      </c>
      <c r="C86" s="232" t="s">
        <v>401</v>
      </c>
      <c r="D86" s="219" t="s">
        <v>402</v>
      </c>
      <c r="E86" s="114" t="s">
        <v>316</v>
      </c>
      <c r="F86" s="220">
        <v>7</v>
      </c>
      <c r="G86" s="221">
        <v>50.01</v>
      </c>
      <c r="H86" s="161">
        <v>62.51</v>
      </c>
      <c r="I86" s="161">
        <v>437.57</v>
      </c>
    </row>
    <row r="87" spans="1:10" ht="36">
      <c r="A87" s="218" t="s">
        <v>403</v>
      </c>
      <c r="B87" s="231" t="s">
        <v>193</v>
      </c>
      <c r="C87" s="232" t="s">
        <v>404</v>
      </c>
      <c r="D87" s="219" t="s">
        <v>405</v>
      </c>
      <c r="E87" s="114" t="s">
        <v>316</v>
      </c>
      <c r="F87" s="220">
        <v>50</v>
      </c>
      <c r="G87" s="221">
        <v>34.69</v>
      </c>
      <c r="H87" s="161">
        <v>43.36</v>
      </c>
      <c r="I87" s="161">
        <v>2168</v>
      </c>
    </row>
    <row r="88" spans="1:10" ht="60">
      <c r="A88" s="218" t="s">
        <v>406</v>
      </c>
      <c r="B88" s="231" t="s">
        <v>220</v>
      </c>
      <c r="C88" s="232" t="s">
        <v>407</v>
      </c>
      <c r="D88" s="219" t="s">
        <v>408</v>
      </c>
      <c r="E88" s="114" t="s">
        <v>248</v>
      </c>
      <c r="F88" s="220">
        <v>17</v>
      </c>
      <c r="G88" s="221">
        <v>14.2</v>
      </c>
      <c r="H88" s="161">
        <v>17.75</v>
      </c>
      <c r="I88" s="161">
        <v>301.75</v>
      </c>
    </row>
    <row r="89" spans="1:10" ht="60">
      <c r="A89" s="218" t="s">
        <v>409</v>
      </c>
      <c r="B89" s="231" t="s">
        <v>220</v>
      </c>
      <c r="C89" s="232" t="s">
        <v>410</v>
      </c>
      <c r="D89" s="219" t="s">
        <v>411</v>
      </c>
      <c r="E89" s="114" t="s">
        <v>248</v>
      </c>
      <c r="F89" s="220">
        <v>1</v>
      </c>
      <c r="G89" s="221">
        <v>122.74</v>
      </c>
      <c r="H89" s="161">
        <v>153.41</v>
      </c>
      <c r="I89" s="161">
        <v>153.41</v>
      </c>
    </row>
    <row r="90" spans="1:10" ht="36">
      <c r="A90" s="218" t="s">
        <v>412</v>
      </c>
      <c r="B90" s="231" t="s">
        <v>193</v>
      </c>
      <c r="C90" s="232" t="s">
        <v>413</v>
      </c>
      <c r="D90" s="219" t="s">
        <v>414</v>
      </c>
      <c r="E90" s="114" t="s">
        <v>316</v>
      </c>
      <c r="F90" s="220">
        <v>5</v>
      </c>
      <c r="G90" s="221">
        <v>17.97</v>
      </c>
      <c r="H90" s="161">
        <v>22.46</v>
      </c>
      <c r="I90" s="161">
        <v>112.3</v>
      </c>
    </row>
    <row r="91" spans="1:10" ht="48">
      <c r="A91" s="218" t="s">
        <v>415</v>
      </c>
      <c r="B91" s="231" t="s">
        <v>193</v>
      </c>
      <c r="C91" s="232" t="s">
        <v>416</v>
      </c>
      <c r="D91" s="219" t="s">
        <v>417</v>
      </c>
      <c r="E91" s="114" t="s">
        <v>293</v>
      </c>
      <c r="F91" s="220">
        <v>210.05</v>
      </c>
      <c r="G91" s="221">
        <v>11.46</v>
      </c>
      <c r="H91" s="161">
        <v>14.32</v>
      </c>
      <c r="I91" s="161">
        <v>3007.92</v>
      </c>
    </row>
    <row r="92" spans="1:10" ht="48">
      <c r="A92" s="218" t="s">
        <v>418</v>
      </c>
      <c r="B92" s="231" t="s">
        <v>193</v>
      </c>
      <c r="C92" s="232" t="s">
        <v>419</v>
      </c>
      <c r="D92" s="219" t="s">
        <v>420</v>
      </c>
      <c r="E92" s="114" t="s">
        <v>293</v>
      </c>
      <c r="F92" s="220">
        <v>177.63</v>
      </c>
      <c r="G92" s="221">
        <v>9.6999999999999993</v>
      </c>
      <c r="H92" s="161">
        <v>12.12</v>
      </c>
      <c r="I92" s="161">
        <v>2152.88</v>
      </c>
    </row>
    <row r="93" spans="1:10" ht="48">
      <c r="A93" s="218" t="s">
        <v>421</v>
      </c>
      <c r="B93" s="231" t="s">
        <v>193</v>
      </c>
      <c r="C93" s="232" t="s">
        <v>422</v>
      </c>
      <c r="D93" s="219" t="s">
        <v>423</v>
      </c>
      <c r="E93" s="114" t="s">
        <v>293</v>
      </c>
      <c r="F93" s="220">
        <v>177.63</v>
      </c>
      <c r="G93" s="221">
        <v>6.93</v>
      </c>
      <c r="H93" s="161">
        <v>8.66</v>
      </c>
      <c r="I93" s="161">
        <v>1538.28</v>
      </c>
    </row>
    <row r="94" spans="1:10" ht="72">
      <c r="A94" s="218" t="s">
        <v>424</v>
      </c>
      <c r="B94" s="231" t="s">
        <v>220</v>
      </c>
      <c r="C94" s="232" t="s">
        <v>425</v>
      </c>
      <c r="D94" s="219" t="s">
        <v>426</v>
      </c>
      <c r="E94" s="114" t="s">
        <v>127</v>
      </c>
      <c r="F94" s="220">
        <v>177.63</v>
      </c>
      <c r="G94" s="221">
        <v>2.68</v>
      </c>
      <c r="H94" s="161">
        <v>3.35</v>
      </c>
      <c r="I94" s="161">
        <v>595.05999999999995</v>
      </c>
    </row>
    <row r="95" spans="1:10" ht="60">
      <c r="A95" s="218" t="s">
        <v>427</v>
      </c>
      <c r="B95" s="231" t="s">
        <v>193</v>
      </c>
      <c r="C95" s="232" t="s">
        <v>428</v>
      </c>
      <c r="D95" s="219" t="s">
        <v>429</v>
      </c>
      <c r="E95" s="114" t="s">
        <v>293</v>
      </c>
      <c r="F95" s="220">
        <v>1.75</v>
      </c>
      <c r="G95" s="221">
        <v>15.91</v>
      </c>
      <c r="H95" s="161">
        <v>19.89</v>
      </c>
      <c r="I95" s="161">
        <v>34.81</v>
      </c>
    </row>
    <row r="96" spans="1:10" s="38" customFormat="1" ht="24">
      <c r="A96" s="218" t="s">
        <v>430</v>
      </c>
      <c r="B96" s="231" t="s">
        <v>220</v>
      </c>
      <c r="C96" s="232" t="s">
        <v>431</v>
      </c>
      <c r="D96" s="219" t="s">
        <v>432</v>
      </c>
      <c r="E96" s="114" t="s">
        <v>248</v>
      </c>
      <c r="F96" s="220">
        <v>1</v>
      </c>
      <c r="G96" s="221">
        <v>215.93</v>
      </c>
      <c r="H96" s="161">
        <v>269.89</v>
      </c>
      <c r="I96" s="161">
        <v>269.89</v>
      </c>
      <c r="J96" s="122"/>
    </row>
    <row r="97" spans="1:9" ht="24">
      <c r="A97" s="218" t="s">
        <v>433</v>
      </c>
      <c r="B97" s="231" t="s">
        <v>204</v>
      </c>
      <c r="C97" s="232" t="s">
        <v>434</v>
      </c>
      <c r="D97" s="219" t="s">
        <v>435</v>
      </c>
      <c r="E97" s="114" t="s">
        <v>383</v>
      </c>
      <c r="F97" s="220">
        <v>4</v>
      </c>
      <c r="G97" s="221">
        <v>85.06</v>
      </c>
      <c r="H97" s="161">
        <v>106.32</v>
      </c>
      <c r="I97" s="161">
        <v>425.28</v>
      </c>
    </row>
    <row r="98" spans="1:9" s="122" customFormat="1">
      <c r="A98" s="214" t="s">
        <v>436</v>
      </c>
      <c r="B98" s="190"/>
      <c r="C98" s="214"/>
      <c r="D98" s="215" t="s">
        <v>183</v>
      </c>
      <c r="E98" s="190"/>
      <c r="F98" s="216"/>
      <c r="G98" s="217"/>
      <c r="H98" s="186"/>
      <c r="I98" s="186">
        <v>3868.7</v>
      </c>
    </row>
    <row r="99" spans="1:9" ht="24">
      <c r="A99" s="218" t="s">
        <v>437</v>
      </c>
      <c r="B99" s="231" t="s">
        <v>220</v>
      </c>
      <c r="C99" s="232" t="s">
        <v>438</v>
      </c>
      <c r="D99" s="219" t="s">
        <v>439</v>
      </c>
      <c r="E99" s="114" t="s">
        <v>223</v>
      </c>
      <c r="F99" s="220">
        <v>410.69</v>
      </c>
      <c r="G99" s="221">
        <v>7.54</v>
      </c>
      <c r="H99" s="161">
        <v>9.42</v>
      </c>
      <c r="I99" s="161">
        <v>3868.7</v>
      </c>
    </row>
    <row r="100" spans="1:9">
      <c r="A100" s="126"/>
      <c r="B100" s="237"/>
      <c r="C100" s="238"/>
      <c r="D100" s="222"/>
      <c r="E100" s="39"/>
      <c r="F100" s="223"/>
      <c r="G100" s="50"/>
      <c r="H100" s="70"/>
      <c r="I100" s="70"/>
    </row>
    <row r="101" spans="1:9">
      <c r="A101" s="126"/>
      <c r="B101" s="237"/>
      <c r="C101" s="238"/>
      <c r="D101" s="222"/>
      <c r="E101" s="39"/>
      <c r="F101" s="223"/>
      <c r="G101" s="50"/>
      <c r="H101" s="70"/>
      <c r="I101" s="70"/>
    </row>
    <row r="102" spans="1:9">
      <c r="A102" s="126"/>
      <c r="B102" s="39"/>
      <c r="C102" s="126"/>
      <c r="D102" s="222"/>
      <c r="E102" s="39"/>
      <c r="F102" s="223"/>
      <c r="G102" s="50"/>
      <c r="H102" s="50"/>
      <c r="I102" s="50"/>
    </row>
    <row r="103" spans="1:9">
      <c r="A103" s="126"/>
      <c r="B103" s="39"/>
      <c r="C103" s="126"/>
      <c r="D103" s="222" t="s">
        <v>70</v>
      </c>
      <c r="E103" s="39"/>
      <c r="F103" s="223"/>
      <c r="G103" s="50"/>
      <c r="H103" s="50"/>
      <c r="I103" s="50"/>
    </row>
    <row r="104" spans="1:9">
      <c r="A104" s="126"/>
      <c r="B104" s="39"/>
      <c r="C104" s="126"/>
      <c r="D104" s="222" t="s">
        <v>71</v>
      </c>
      <c r="E104" s="39"/>
      <c r="F104" s="223"/>
      <c r="G104" s="50"/>
      <c r="H104" s="50"/>
      <c r="I104" s="50"/>
    </row>
    <row r="105" spans="1:9">
      <c r="A105" s="126"/>
      <c r="B105" s="39"/>
      <c r="C105" s="126"/>
      <c r="D105" s="222" t="s">
        <v>72</v>
      </c>
      <c r="E105" s="39"/>
      <c r="F105" s="223"/>
      <c r="G105" s="50"/>
      <c r="H105" s="50"/>
      <c r="I105" s="50"/>
    </row>
    <row r="106" spans="1:9">
      <c r="A106" s="225"/>
      <c r="B106" s="226"/>
      <c r="C106" s="225"/>
      <c r="D106" s="227"/>
      <c r="E106" s="226"/>
      <c r="F106" s="228"/>
      <c r="G106" s="229"/>
      <c r="H106" s="229"/>
      <c r="I106" s="229"/>
    </row>
  </sheetData>
  <autoFilter ref="A11:I99"/>
  <mergeCells count="6">
    <mergeCell ref="A8:B8"/>
    <mergeCell ref="A1:I1"/>
    <mergeCell ref="A3:B3"/>
    <mergeCell ref="A4:B4"/>
    <mergeCell ref="A5:B5"/>
    <mergeCell ref="A7:B7"/>
  </mergeCells>
  <pageMargins left="0.59055118110236227" right="0.59055118110236227" top="1.1811023622047245" bottom="0.59055118110236227" header="0.39370078740157483" footer="0.39370078740157483"/>
  <pageSetup paperSize="9" fitToHeight="0" orientation="landscape" r:id="rId1"/>
  <headerFooter>
    <oddHeader>&amp;L&amp;G&amp;R&amp;A</oddHeader>
    <oddFooter>Página &amp;P de &amp;N</oddFooter>
  </headerFooter>
  <rowBreaks count="1" manualBreakCount="1">
    <brk id="28" max="8" man="1"/>
  </rowBreaks>
  <legacyDrawingHF r:id="rId2"/>
</worksheet>
</file>

<file path=xl/worksheets/sheet3.xml><?xml version="1.0" encoding="utf-8"?>
<worksheet xmlns="http://schemas.openxmlformats.org/spreadsheetml/2006/main" xmlns:r="http://schemas.openxmlformats.org/officeDocument/2006/relationships">
  <dimension ref="A1:E325"/>
  <sheetViews>
    <sheetView view="pageBreakPreview" zoomScale="110" zoomScaleSheetLayoutView="110" workbookViewId="0">
      <selection sqref="A1:E1"/>
    </sheetView>
  </sheetViews>
  <sheetFormatPr defaultColWidth="8.85546875" defaultRowHeight="12"/>
  <cols>
    <col min="1" max="1" width="10.140625" style="47" bestFit="1" customWidth="1"/>
    <col min="2" max="2" width="55.85546875" style="45" customWidth="1"/>
    <col min="3" max="3" width="8.140625" style="51" bestFit="1" customWidth="1"/>
    <col min="4" max="4" width="11.140625" style="64" bestFit="1" customWidth="1"/>
    <col min="5" max="5" width="47.7109375" style="65" customWidth="1"/>
    <col min="6" max="16384" width="8.85546875" style="43"/>
  </cols>
  <sheetData>
    <row r="1" spans="1:5" s="38" customFormat="1" ht="15.75">
      <c r="A1" s="353" t="s">
        <v>53</v>
      </c>
      <c r="B1" s="353"/>
      <c r="C1" s="353"/>
      <c r="D1" s="353"/>
      <c r="E1" s="353"/>
    </row>
    <row r="2" spans="1:5" s="38" customFormat="1">
      <c r="A2" s="119"/>
      <c r="B2" s="39"/>
      <c r="C2" s="39"/>
      <c r="D2" s="61"/>
      <c r="E2" s="157"/>
    </row>
    <row r="3" spans="1:5" s="38" customFormat="1">
      <c r="A3" s="156" t="s">
        <v>1</v>
      </c>
      <c r="B3" s="156" t="s">
        <v>73</v>
      </c>
      <c r="C3" s="39"/>
      <c r="D3" s="61"/>
    </row>
    <row r="4" spans="1:5" s="38" customFormat="1">
      <c r="A4" s="156" t="s">
        <v>2</v>
      </c>
      <c r="B4" s="159" t="s">
        <v>93</v>
      </c>
      <c r="C4" s="49"/>
      <c r="D4" s="62"/>
    </row>
    <row r="5" spans="1:5" s="38" customFormat="1">
      <c r="A5" s="156" t="s">
        <v>3</v>
      </c>
      <c r="B5" s="156" t="s">
        <v>94</v>
      </c>
      <c r="C5" s="120"/>
      <c r="D5" s="61"/>
    </row>
    <row r="6" spans="1:5" s="38" customFormat="1">
      <c r="A6" s="126"/>
      <c r="B6" s="236" t="s">
        <v>74</v>
      </c>
      <c r="C6" s="120"/>
      <c r="D6" s="61"/>
      <c r="E6" s="157"/>
    </row>
    <row r="7" spans="1:5" s="38" customFormat="1">
      <c r="A7" s="126"/>
      <c r="B7" s="123"/>
      <c r="C7" s="120"/>
      <c r="D7" s="61"/>
      <c r="E7" s="157"/>
    </row>
    <row r="8" spans="1:5" s="15" customFormat="1">
      <c r="A8" s="124" t="s">
        <v>5</v>
      </c>
      <c r="B8" s="124" t="s">
        <v>8</v>
      </c>
      <c r="C8" s="124" t="s">
        <v>9</v>
      </c>
      <c r="D8" s="63" t="s">
        <v>10</v>
      </c>
      <c r="E8" s="133" t="s">
        <v>52</v>
      </c>
    </row>
    <row r="9" spans="1:5" s="15" customFormat="1">
      <c r="A9" s="193" t="s">
        <v>190</v>
      </c>
      <c r="B9" s="194" t="s">
        <v>93</v>
      </c>
      <c r="C9" s="193" t="s">
        <v>440</v>
      </c>
      <c r="D9" s="195"/>
      <c r="E9" s="233"/>
    </row>
    <row r="10" spans="1:5" s="15" customFormat="1">
      <c r="A10" s="190" t="s">
        <v>191</v>
      </c>
      <c r="B10" s="191" t="s">
        <v>49</v>
      </c>
      <c r="C10" s="190" t="s">
        <v>440</v>
      </c>
      <c r="D10" s="192"/>
      <c r="E10" s="234"/>
    </row>
    <row r="11" spans="1:5" s="15" customFormat="1" ht="24">
      <c r="A11" s="114" t="s">
        <v>192</v>
      </c>
      <c r="B11" s="115" t="s">
        <v>195</v>
      </c>
      <c r="C11" s="114" t="s">
        <v>196</v>
      </c>
      <c r="D11" s="189">
        <v>80</v>
      </c>
      <c r="E11" s="235" t="s">
        <v>441</v>
      </c>
    </row>
    <row r="12" spans="1:5" s="15" customFormat="1">
      <c r="A12" s="190" t="s">
        <v>197</v>
      </c>
      <c r="B12" s="191" t="s">
        <v>86</v>
      </c>
      <c r="C12" s="190" t="s">
        <v>440</v>
      </c>
      <c r="D12" s="192"/>
      <c r="E12" s="234"/>
    </row>
    <row r="13" spans="1:5" s="15" customFormat="1" ht="24">
      <c r="A13" s="114" t="s">
        <v>198</v>
      </c>
      <c r="B13" s="115" t="s">
        <v>200</v>
      </c>
      <c r="C13" s="114" t="s">
        <v>201</v>
      </c>
      <c r="D13" s="189">
        <v>2</v>
      </c>
      <c r="E13" s="235" t="s">
        <v>442</v>
      </c>
    </row>
    <row r="14" spans="1:5" s="15" customFormat="1">
      <c r="A14" s="190" t="s">
        <v>202</v>
      </c>
      <c r="B14" s="191" t="s">
        <v>88</v>
      </c>
      <c r="C14" s="190" t="s">
        <v>440</v>
      </c>
      <c r="D14" s="192"/>
      <c r="E14" s="234"/>
    </row>
    <row r="15" spans="1:5" s="15" customFormat="1" ht="48">
      <c r="A15" s="114" t="s">
        <v>203</v>
      </c>
      <c r="B15" s="115" t="s">
        <v>206</v>
      </c>
      <c r="C15" s="114" t="s">
        <v>126</v>
      </c>
      <c r="D15" s="189">
        <v>21.69</v>
      </c>
      <c r="E15" s="235" t="s">
        <v>443</v>
      </c>
    </row>
    <row r="16" spans="1:5" s="15" customFormat="1" ht="24">
      <c r="A16" s="114" t="s">
        <v>207</v>
      </c>
      <c r="B16" s="115" t="s">
        <v>209</v>
      </c>
      <c r="C16" s="114" t="s">
        <v>201</v>
      </c>
      <c r="D16" s="189">
        <v>5.04</v>
      </c>
      <c r="E16" s="235" t="s">
        <v>444</v>
      </c>
    </row>
    <row r="17" spans="1:5" s="15" customFormat="1" ht="24">
      <c r="A17" s="114" t="s">
        <v>210</v>
      </c>
      <c r="B17" s="115" t="s">
        <v>212</v>
      </c>
      <c r="C17" s="114" t="s">
        <v>201</v>
      </c>
      <c r="D17" s="189">
        <v>292.88</v>
      </c>
      <c r="E17" s="235" t="s">
        <v>445</v>
      </c>
    </row>
    <row r="18" spans="1:5" s="15" customFormat="1" ht="24">
      <c r="A18" s="114" t="s">
        <v>213</v>
      </c>
      <c r="B18" s="115" t="s">
        <v>215</v>
      </c>
      <c r="C18" s="114" t="s">
        <v>201</v>
      </c>
      <c r="D18" s="189">
        <v>292.88</v>
      </c>
      <c r="E18" s="235" t="s">
        <v>445</v>
      </c>
    </row>
    <row r="19" spans="1:5" s="15" customFormat="1" ht="36">
      <c r="A19" s="114" t="s">
        <v>216</v>
      </c>
      <c r="B19" s="115" t="s">
        <v>218</v>
      </c>
      <c r="C19" s="114" t="s">
        <v>201</v>
      </c>
      <c r="D19" s="189">
        <v>5.67</v>
      </c>
      <c r="E19" s="235" t="s">
        <v>445</v>
      </c>
    </row>
    <row r="20" spans="1:5" s="15" customFormat="1" ht="60">
      <c r="A20" s="114" t="s">
        <v>219</v>
      </c>
      <c r="B20" s="115" t="s">
        <v>222</v>
      </c>
      <c r="C20" s="114" t="s">
        <v>223</v>
      </c>
      <c r="D20" s="189">
        <v>5.67</v>
      </c>
      <c r="E20" s="235" t="s">
        <v>445</v>
      </c>
    </row>
    <row r="21" spans="1:5" s="15" customFormat="1" ht="48">
      <c r="A21" s="114" t="s">
        <v>224</v>
      </c>
      <c r="B21" s="115" t="s">
        <v>226</v>
      </c>
      <c r="C21" s="114" t="s">
        <v>223</v>
      </c>
      <c r="D21" s="189">
        <v>141.97999999999999</v>
      </c>
      <c r="E21" s="235" t="s">
        <v>446</v>
      </c>
    </row>
    <row r="22" spans="1:5" s="15" customFormat="1" ht="48">
      <c r="A22" s="114" t="s">
        <v>227</v>
      </c>
      <c r="B22" s="115" t="s">
        <v>229</v>
      </c>
      <c r="C22" s="114" t="s">
        <v>230</v>
      </c>
      <c r="D22" s="189">
        <v>0.67</v>
      </c>
      <c r="E22" s="235" t="s">
        <v>447</v>
      </c>
    </row>
    <row r="23" spans="1:5" s="15" customFormat="1" ht="24">
      <c r="A23" s="114" t="s">
        <v>231</v>
      </c>
      <c r="B23" s="115" t="s">
        <v>233</v>
      </c>
      <c r="C23" s="114" t="s">
        <v>201</v>
      </c>
      <c r="D23" s="189">
        <v>241.65</v>
      </c>
      <c r="E23" s="235" t="s">
        <v>448</v>
      </c>
    </row>
    <row r="24" spans="1:5" s="15" customFormat="1">
      <c r="A24" s="190" t="s">
        <v>234</v>
      </c>
      <c r="B24" s="191" t="s">
        <v>89</v>
      </c>
      <c r="C24" s="190" t="s">
        <v>440</v>
      </c>
      <c r="D24" s="192"/>
      <c r="E24" s="234"/>
    </row>
    <row r="25" spans="1:5" s="15" customFormat="1" ht="36">
      <c r="A25" s="114" t="s">
        <v>235</v>
      </c>
      <c r="B25" s="115" t="s">
        <v>237</v>
      </c>
      <c r="C25" s="114" t="s">
        <v>201</v>
      </c>
      <c r="D25" s="189">
        <v>2.64</v>
      </c>
      <c r="E25" s="235" t="s">
        <v>445</v>
      </c>
    </row>
    <row r="26" spans="1:5" s="15" customFormat="1">
      <c r="A26" s="190" t="s">
        <v>238</v>
      </c>
      <c r="B26" s="191" t="s">
        <v>173</v>
      </c>
      <c r="C26" s="190" t="s">
        <v>440</v>
      </c>
      <c r="D26" s="192"/>
      <c r="E26" s="234"/>
    </row>
    <row r="27" spans="1:5" s="15" customFormat="1" ht="48">
      <c r="A27" s="114" t="s">
        <v>239</v>
      </c>
      <c r="B27" s="115" t="s">
        <v>241</v>
      </c>
      <c r="C27" s="114" t="s">
        <v>223</v>
      </c>
      <c r="D27" s="189">
        <v>12.1</v>
      </c>
      <c r="E27" s="235" t="s">
        <v>449</v>
      </c>
    </row>
    <row r="28" spans="1:5" s="15" customFormat="1" ht="48">
      <c r="A28" s="114" t="s">
        <v>242</v>
      </c>
      <c r="B28" s="115" t="s">
        <v>244</v>
      </c>
      <c r="C28" s="114" t="s">
        <v>127</v>
      </c>
      <c r="D28" s="189">
        <v>24.2</v>
      </c>
      <c r="E28" s="235" t="s">
        <v>450</v>
      </c>
    </row>
    <row r="29" spans="1:5" s="15" customFormat="1" ht="36">
      <c r="A29" s="114" t="s">
        <v>245</v>
      </c>
      <c r="B29" s="115" t="s">
        <v>247</v>
      </c>
      <c r="C29" s="114" t="s">
        <v>248</v>
      </c>
      <c r="D29" s="189">
        <v>202</v>
      </c>
      <c r="E29" s="235" t="s">
        <v>451</v>
      </c>
    </row>
    <row r="30" spans="1:5" s="15" customFormat="1" ht="36">
      <c r="A30" s="114" t="s">
        <v>249</v>
      </c>
      <c r="B30" s="115" t="s">
        <v>251</v>
      </c>
      <c r="C30" s="114" t="s">
        <v>127</v>
      </c>
      <c r="D30" s="189">
        <v>24.2</v>
      </c>
      <c r="E30" s="235" t="s">
        <v>450</v>
      </c>
    </row>
    <row r="31" spans="1:5" s="15" customFormat="1" ht="36">
      <c r="A31" s="114" t="s">
        <v>252</v>
      </c>
      <c r="B31" s="115" t="s">
        <v>254</v>
      </c>
      <c r="C31" s="114" t="s">
        <v>223</v>
      </c>
      <c r="D31" s="189">
        <v>12.1</v>
      </c>
      <c r="E31" s="235" t="s">
        <v>452</v>
      </c>
    </row>
    <row r="32" spans="1:5" s="15" customFormat="1" ht="48">
      <c r="A32" s="114" t="s">
        <v>255</v>
      </c>
      <c r="B32" s="115" t="s">
        <v>257</v>
      </c>
      <c r="C32" s="114" t="s">
        <v>223</v>
      </c>
      <c r="D32" s="189">
        <v>12.1</v>
      </c>
      <c r="E32" s="235" t="s">
        <v>453</v>
      </c>
    </row>
    <row r="33" spans="1:5" s="15" customFormat="1">
      <c r="A33" s="190" t="s">
        <v>258</v>
      </c>
      <c r="B33" s="191" t="s">
        <v>174</v>
      </c>
      <c r="C33" s="190" t="s">
        <v>440</v>
      </c>
      <c r="D33" s="192"/>
      <c r="E33" s="234"/>
    </row>
    <row r="34" spans="1:5" s="15" customFormat="1" ht="48">
      <c r="A34" s="114" t="s">
        <v>259</v>
      </c>
      <c r="B34" s="115" t="s">
        <v>261</v>
      </c>
      <c r="C34" s="114" t="s">
        <v>201</v>
      </c>
      <c r="D34" s="189">
        <v>243.57</v>
      </c>
      <c r="E34" s="235" t="s">
        <v>445</v>
      </c>
    </row>
    <row r="35" spans="1:5" s="15" customFormat="1" ht="48">
      <c r="A35" s="114" t="s">
        <v>262</v>
      </c>
      <c r="B35" s="115" t="s">
        <v>264</v>
      </c>
      <c r="C35" s="114" t="s">
        <v>223</v>
      </c>
      <c r="D35" s="189">
        <v>243.57</v>
      </c>
      <c r="E35" s="235" t="s">
        <v>445</v>
      </c>
    </row>
    <row r="36" spans="1:5" s="15" customFormat="1" ht="24">
      <c r="A36" s="114" t="s">
        <v>265</v>
      </c>
      <c r="B36" s="115" t="s">
        <v>267</v>
      </c>
      <c r="C36" s="114" t="s">
        <v>201</v>
      </c>
      <c r="D36" s="189">
        <v>243.57</v>
      </c>
      <c r="E36" s="235" t="s">
        <v>445</v>
      </c>
    </row>
    <row r="37" spans="1:5" s="15" customFormat="1">
      <c r="A37" s="190" t="s">
        <v>268</v>
      </c>
      <c r="B37" s="191" t="s">
        <v>176</v>
      </c>
      <c r="C37" s="190" t="s">
        <v>440</v>
      </c>
      <c r="D37" s="192"/>
      <c r="E37" s="234"/>
    </row>
    <row r="38" spans="1:5" s="15" customFormat="1" ht="48">
      <c r="A38" s="114" t="s">
        <v>269</v>
      </c>
      <c r="B38" s="115" t="s">
        <v>271</v>
      </c>
      <c r="C38" s="114" t="s">
        <v>201</v>
      </c>
      <c r="D38" s="189">
        <v>141.97999999999999</v>
      </c>
      <c r="E38" s="235" t="s">
        <v>446</v>
      </c>
    </row>
    <row r="39" spans="1:5" s="15" customFormat="1">
      <c r="A39" s="190" t="s">
        <v>272</v>
      </c>
      <c r="B39" s="191" t="s">
        <v>90</v>
      </c>
      <c r="C39" s="190" t="s">
        <v>440</v>
      </c>
      <c r="D39" s="192"/>
      <c r="E39" s="234"/>
    </row>
    <row r="40" spans="1:5" s="15" customFormat="1" ht="24">
      <c r="A40" s="114" t="s">
        <v>273</v>
      </c>
      <c r="B40" s="115" t="s">
        <v>275</v>
      </c>
      <c r="C40" s="114" t="s">
        <v>201</v>
      </c>
      <c r="D40" s="189">
        <v>821.36</v>
      </c>
      <c r="E40" s="235" t="s">
        <v>445</v>
      </c>
    </row>
    <row r="41" spans="1:5" s="15" customFormat="1" ht="36">
      <c r="A41" s="114" t="s">
        <v>276</v>
      </c>
      <c r="B41" s="115" t="s">
        <v>278</v>
      </c>
      <c r="C41" s="114" t="s">
        <v>223</v>
      </c>
      <c r="D41" s="189">
        <v>243.57</v>
      </c>
      <c r="E41" s="235" t="s">
        <v>445</v>
      </c>
    </row>
    <row r="42" spans="1:5" s="15" customFormat="1" ht="24">
      <c r="A42" s="114" t="s">
        <v>279</v>
      </c>
      <c r="B42" s="115" t="s">
        <v>281</v>
      </c>
      <c r="C42" s="114" t="s">
        <v>201</v>
      </c>
      <c r="D42" s="189">
        <v>577.78</v>
      </c>
      <c r="E42" s="235" t="s">
        <v>445</v>
      </c>
    </row>
    <row r="43" spans="1:5" s="15" customFormat="1" ht="36">
      <c r="A43" s="114" t="s">
        <v>282</v>
      </c>
      <c r="B43" s="115" t="s">
        <v>284</v>
      </c>
      <c r="C43" s="114" t="s">
        <v>223</v>
      </c>
      <c r="D43" s="189">
        <v>93.87</v>
      </c>
      <c r="E43" s="235" t="s">
        <v>454</v>
      </c>
    </row>
    <row r="44" spans="1:5" s="15" customFormat="1" ht="36">
      <c r="A44" s="114" t="s">
        <v>285</v>
      </c>
      <c r="B44" s="115" t="s">
        <v>287</v>
      </c>
      <c r="C44" s="114" t="s">
        <v>223</v>
      </c>
      <c r="D44" s="189">
        <v>43.91</v>
      </c>
      <c r="E44" s="235" t="s">
        <v>455</v>
      </c>
    </row>
    <row r="45" spans="1:5" s="15" customFormat="1">
      <c r="A45" s="190" t="s">
        <v>288</v>
      </c>
      <c r="B45" s="191" t="s">
        <v>289</v>
      </c>
      <c r="C45" s="190" t="s">
        <v>440</v>
      </c>
      <c r="D45" s="192"/>
      <c r="E45" s="234"/>
    </row>
    <row r="46" spans="1:5" s="15" customFormat="1" ht="36">
      <c r="A46" s="114" t="s">
        <v>290</v>
      </c>
      <c r="B46" s="115" t="s">
        <v>292</v>
      </c>
      <c r="C46" s="114" t="s">
        <v>293</v>
      </c>
      <c r="D46" s="189">
        <v>50.41</v>
      </c>
      <c r="E46" s="235" t="s">
        <v>445</v>
      </c>
    </row>
    <row r="47" spans="1:5" s="122" customFormat="1" ht="36">
      <c r="A47" s="114" t="s">
        <v>294</v>
      </c>
      <c r="B47" s="115" t="s">
        <v>296</v>
      </c>
      <c r="C47" s="114" t="s">
        <v>201</v>
      </c>
      <c r="D47" s="189">
        <v>292.88</v>
      </c>
      <c r="E47" s="235" t="s">
        <v>445</v>
      </c>
    </row>
    <row r="48" spans="1:5" s="116" customFormat="1" ht="24">
      <c r="A48" s="114" t="s">
        <v>297</v>
      </c>
      <c r="B48" s="115" t="s">
        <v>299</v>
      </c>
      <c r="C48" s="114" t="s">
        <v>293</v>
      </c>
      <c r="D48" s="189">
        <v>251.28</v>
      </c>
      <c r="E48" s="235" t="s">
        <v>445</v>
      </c>
    </row>
    <row r="49" spans="1:5" s="117" customFormat="1" ht="48">
      <c r="A49" s="114" t="s">
        <v>300</v>
      </c>
      <c r="B49" s="115" t="s">
        <v>302</v>
      </c>
      <c r="C49" s="114" t="s">
        <v>201</v>
      </c>
      <c r="D49" s="189">
        <v>15.83</v>
      </c>
      <c r="E49" s="235" t="s">
        <v>445</v>
      </c>
    </row>
    <row r="50" spans="1:5" s="117" customFormat="1" ht="48">
      <c r="A50" s="114" t="s">
        <v>303</v>
      </c>
      <c r="B50" s="115" t="s">
        <v>305</v>
      </c>
      <c r="C50" s="114" t="s">
        <v>201</v>
      </c>
      <c r="D50" s="189">
        <v>15.83</v>
      </c>
      <c r="E50" s="235" t="s">
        <v>445</v>
      </c>
    </row>
    <row r="51" spans="1:5" s="15" customFormat="1">
      <c r="A51" s="190" t="s">
        <v>306</v>
      </c>
      <c r="B51" s="191" t="s">
        <v>91</v>
      </c>
      <c r="C51" s="190" t="s">
        <v>440</v>
      </c>
      <c r="D51" s="192"/>
      <c r="E51" s="234"/>
    </row>
    <row r="52" spans="1:5" ht="60">
      <c r="A52" s="114" t="s">
        <v>307</v>
      </c>
      <c r="B52" s="115" t="s">
        <v>309</v>
      </c>
      <c r="C52" s="114" t="s">
        <v>223</v>
      </c>
      <c r="D52" s="189">
        <v>1.68</v>
      </c>
      <c r="E52" s="235" t="s">
        <v>456</v>
      </c>
    </row>
    <row r="53" spans="1:5" s="75" customFormat="1" ht="36">
      <c r="A53" s="114" t="s">
        <v>310</v>
      </c>
      <c r="B53" s="115" t="s">
        <v>312</v>
      </c>
      <c r="C53" s="114" t="s">
        <v>201</v>
      </c>
      <c r="D53" s="189">
        <v>2.83</v>
      </c>
      <c r="E53" s="235" t="s">
        <v>457</v>
      </c>
    </row>
    <row r="54" spans="1:5" s="76" customFormat="1" ht="24">
      <c r="A54" s="114" t="s">
        <v>313</v>
      </c>
      <c r="B54" s="115" t="s">
        <v>315</v>
      </c>
      <c r="C54" s="114" t="s">
        <v>316</v>
      </c>
      <c r="D54" s="189">
        <v>10</v>
      </c>
      <c r="E54" s="235" t="s">
        <v>445</v>
      </c>
    </row>
    <row r="55" spans="1:5" ht="24">
      <c r="A55" s="114" t="s">
        <v>317</v>
      </c>
      <c r="B55" s="115" t="s">
        <v>319</v>
      </c>
      <c r="C55" s="114" t="s">
        <v>316</v>
      </c>
      <c r="D55" s="189">
        <v>1</v>
      </c>
      <c r="E55" s="235" t="s">
        <v>445</v>
      </c>
    </row>
    <row r="56" spans="1:5" s="76" customFormat="1" ht="36">
      <c r="A56" s="114" t="s">
        <v>320</v>
      </c>
      <c r="B56" s="115" t="s">
        <v>322</v>
      </c>
      <c r="C56" s="114" t="s">
        <v>316</v>
      </c>
      <c r="D56" s="189">
        <v>11</v>
      </c>
      <c r="E56" s="235" t="s">
        <v>458</v>
      </c>
    </row>
    <row r="57" spans="1:5" ht="24">
      <c r="A57" s="114" t="s">
        <v>323</v>
      </c>
      <c r="B57" s="115" t="s">
        <v>325</v>
      </c>
      <c r="C57" s="114" t="s">
        <v>201</v>
      </c>
      <c r="D57" s="189">
        <v>0.24</v>
      </c>
      <c r="E57" s="235" t="s">
        <v>445</v>
      </c>
    </row>
    <row r="58" spans="1:5" ht="60">
      <c r="A58" s="114" t="s">
        <v>326</v>
      </c>
      <c r="B58" s="115" t="s">
        <v>328</v>
      </c>
      <c r="C58" s="114" t="s">
        <v>316</v>
      </c>
      <c r="D58" s="189">
        <v>2</v>
      </c>
      <c r="E58" s="235" t="s">
        <v>445</v>
      </c>
    </row>
    <row r="59" spans="1:5" ht="48">
      <c r="A59" s="114" t="s">
        <v>329</v>
      </c>
      <c r="B59" s="115" t="s">
        <v>331</v>
      </c>
      <c r="C59" s="114" t="s">
        <v>201</v>
      </c>
      <c r="D59" s="189">
        <v>3</v>
      </c>
      <c r="E59" s="235" t="s">
        <v>445</v>
      </c>
    </row>
    <row r="60" spans="1:5" ht="48">
      <c r="A60" s="114" t="s">
        <v>332</v>
      </c>
      <c r="B60" s="115" t="s">
        <v>334</v>
      </c>
      <c r="C60" s="114" t="s">
        <v>248</v>
      </c>
      <c r="D60" s="189">
        <v>3</v>
      </c>
      <c r="E60" s="235" t="s">
        <v>459</v>
      </c>
    </row>
    <row r="61" spans="1:5" ht="24">
      <c r="A61" s="114" t="s">
        <v>335</v>
      </c>
      <c r="B61" s="115" t="s">
        <v>337</v>
      </c>
      <c r="C61" s="114" t="s">
        <v>223</v>
      </c>
      <c r="D61" s="189">
        <v>0.8</v>
      </c>
      <c r="E61" s="235" t="s">
        <v>460</v>
      </c>
    </row>
    <row r="62" spans="1:5" s="15" customFormat="1">
      <c r="A62" s="190" t="s">
        <v>338</v>
      </c>
      <c r="B62" s="191" t="s">
        <v>180</v>
      </c>
      <c r="C62" s="190" t="s">
        <v>440</v>
      </c>
      <c r="D62" s="192"/>
      <c r="E62" s="234"/>
    </row>
    <row r="63" spans="1:5" ht="72">
      <c r="A63" s="114" t="s">
        <v>339</v>
      </c>
      <c r="B63" s="115" t="s">
        <v>341</v>
      </c>
      <c r="C63" s="114" t="s">
        <v>248</v>
      </c>
      <c r="D63" s="189">
        <v>2</v>
      </c>
      <c r="E63" s="235" t="s">
        <v>445</v>
      </c>
    </row>
    <row r="64" spans="1:5" ht="60">
      <c r="A64" s="114" t="s">
        <v>342</v>
      </c>
      <c r="B64" s="115" t="s">
        <v>344</v>
      </c>
      <c r="C64" s="114" t="s">
        <v>248</v>
      </c>
      <c r="D64" s="189">
        <v>1</v>
      </c>
      <c r="E64" s="235" t="s">
        <v>445</v>
      </c>
    </row>
    <row r="65" spans="1:5" ht="84">
      <c r="A65" s="114" t="s">
        <v>345</v>
      </c>
      <c r="B65" s="115" t="s">
        <v>347</v>
      </c>
      <c r="C65" s="114" t="s">
        <v>248</v>
      </c>
      <c r="D65" s="189">
        <v>1</v>
      </c>
      <c r="E65" s="235" t="s">
        <v>445</v>
      </c>
    </row>
    <row r="66" spans="1:5" ht="60">
      <c r="A66" s="114" t="s">
        <v>348</v>
      </c>
      <c r="B66" s="115" t="s">
        <v>350</v>
      </c>
      <c r="C66" s="114" t="s">
        <v>223</v>
      </c>
      <c r="D66" s="189">
        <v>1.82</v>
      </c>
      <c r="E66" s="235" t="s">
        <v>461</v>
      </c>
    </row>
    <row r="67" spans="1:5" ht="36">
      <c r="A67" s="114" t="s">
        <v>351</v>
      </c>
      <c r="B67" s="115" t="s">
        <v>353</v>
      </c>
      <c r="C67" s="114" t="s">
        <v>223</v>
      </c>
      <c r="D67" s="189">
        <v>2.7</v>
      </c>
      <c r="E67" s="235" t="s">
        <v>462</v>
      </c>
    </row>
    <row r="68" spans="1:5" ht="24">
      <c r="A68" s="114" t="s">
        <v>354</v>
      </c>
      <c r="B68" s="115" t="s">
        <v>356</v>
      </c>
      <c r="C68" s="114" t="s">
        <v>293</v>
      </c>
      <c r="D68" s="189">
        <v>3.3</v>
      </c>
      <c r="E68" s="235" t="s">
        <v>463</v>
      </c>
    </row>
    <row r="69" spans="1:5" ht="36">
      <c r="A69" s="114" t="s">
        <v>357</v>
      </c>
      <c r="B69" s="115" t="s">
        <v>359</v>
      </c>
      <c r="C69" s="114" t="s">
        <v>127</v>
      </c>
      <c r="D69" s="189">
        <v>2.6</v>
      </c>
      <c r="E69" s="235" t="s">
        <v>464</v>
      </c>
    </row>
    <row r="70" spans="1:5">
      <c r="A70" s="114" t="s">
        <v>360</v>
      </c>
      <c r="B70" s="115" t="s">
        <v>362</v>
      </c>
      <c r="C70" s="114" t="s">
        <v>127</v>
      </c>
      <c r="D70" s="189">
        <v>4</v>
      </c>
      <c r="E70" s="235" t="s">
        <v>465</v>
      </c>
    </row>
    <row r="71" spans="1:5" ht="60">
      <c r="A71" s="114" t="s">
        <v>363</v>
      </c>
      <c r="B71" s="115" t="s">
        <v>365</v>
      </c>
      <c r="C71" s="114" t="s">
        <v>248</v>
      </c>
      <c r="D71" s="189">
        <v>1</v>
      </c>
      <c r="E71" s="235" t="s">
        <v>466</v>
      </c>
    </row>
    <row r="72" spans="1:5" ht="36">
      <c r="A72" s="114" t="s">
        <v>366</v>
      </c>
      <c r="B72" s="115" t="s">
        <v>368</v>
      </c>
      <c r="C72" s="114" t="s">
        <v>316</v>
      </c>
      <c r="D72" s="189">
        <v>1</v>
      </c>
      <c r="E72" s="235" t="s">
        <v>467</v>
      </c>
    </row>
    <row r="73" spans="1:5" s="15" customFormat="1" ht="36">
      <c r="A73" s="114" t="s">
        <v>369</v>
      </c>
      <c r="B73" s="115" t="s">
        <v>371</v>
      </c>
      <c r="C73" s="114" t="s">
        <v>293</v>
      </c>
      <c r="D73" s="189">
        <v>3</v>
      </c>
      <c r="E73" s="235" t="s">
        <v>468</v>
      </c>
    </row>
    <row r="74" spans="1:5" ht="24">
      <c r="A74" s="114" t="s">
        <v>372</v>
      </c>
      <c r="B74" s="115" t="s">
        <v>374</v>
      </c>
      <c r="C74" s="114" t="s">
        <v>375</v>
      </c>
      <c r="D74" s="189">
        <v>0.08</v>
      </c>
      <c r="E74" s="235" t="s">
        <v>469</v>
      </c>
    </row>
    <row r="75" spans="1:5" s="15" customFormat="1">
      <c r="A75" s="190" t="s">
        <v>376</v>
      </c>
      <c r="B75" s="191" t="s">
        <v>181</v>
      </c>
      <c r="C75" s="190" t="s">
        <v>440</v>
      </c>
      <c r="D75" s="192"/>
      <c r="E75" s="234"/>
    </row>
    <row r="76" spans="1:5" ht="60">
      <c r="A76" s="114" t="s">
        <v>377</v>
      </c>
      <c r="B76" s="115" t="s">
        <v>379</v>
      </c>
      <c r="C76" s="114" t="s">
        <v>248</v>
      </c>
      <c r="D76" s="189">
        <v>45</v>
      </c>
      <c r="E76" s="235" t="s">
        <v>470</v>
      </c>
    </row>
    <row r="77" spans="1:5" ht="24">
      <c r="A77" s="114" t="s">
        <v>380</v>
      </c>
      <c r="B77" s="115" t="s">
        <v>382</v>
      </c>
      <c r="C77" s="114" t="s">
        <v>383</v>
      </c>
      <c r="D77" s="189">
        <v>43</v>
      </c>
      <c r="E77" s="235" t="s">
        <v>471</v>
      </c>
    </row>
    <row r="78" spans="1:5" ht="24">
      <c r="A78" s="114" t="s">
        <v>384</v>
      </c>
      <c r="B78" s="115" t="s">
        <v>386</v>
      </c>
      <c r="C78" s="114" t="s">
        <v>387</v>
      </c>
      <c r="D78" s="189">
        <v>82</v>
      </c>
      <c r="E78" s="235" t="s">
        <v>472</v>
      </c>
    </row>
    <row r="79" spans="1:5" ht="36">
      <c r="A79" s="114" t="s">
        <v>388</v>
      </c>
      <c r="B79" s="115" t="s">
        <v>390</v>
      </c>
      <c r="C79" s="114" t="s">
        <v>248</v>
      </c>
      <c r="D79" s="189">
        <v>84</v>
      </c>
      <c r="E79" s="235" t="s">
        <v>472</v>
      </c>
    </row>
    <row r="80" spans="1:5" ht="36">
      <c r="A80" s="114" t="s">
        <v>391</v>
      </c>
      <c r="B80" s="115" t="s">
        <v>393</v>
      </c>
      <c r="C80" s="114" t="s">
        <v>293</v>
      </c>
      <c r="D80" s="189">
        <v>1353.33</v>
      </c>
      <c r="E80" s="235" t="s">
        <v>472</v>
      </c>
    </row>
    <row r="81" spans="1:5" ht="36">
      <c r="A81" s="114" t="s">
        <v>394</v>
      </c>
      <c r="B81" s="115" t="s">
        <v>396</v>
      </c>
      <c r="C81" s="114" t="s">
        <v>316</v>
      </c>
      <c r="D81" s="189">
        <v>7</v>
      </c>
      <c r="E81" s="235" t="s">
        <v>472</v>
      </c>
    </row>
    <row r="82" spans="1:5" ht="36">
      <c r="A82" s="114" t="s">
        <v>397</v>
      </c>
      <c r="B82" s="115" t="s">
        <v>399</v>
      </c>
      <c r="C82" s="114" t="s">
        <v>316</v>
      </c>
      <c r="D82" s="189">
        <v>2</v>
      </c>
      <c r="E82" s="235" t="s">
        <v>472</v>
      </c>
    </row>
    <row r="83" spans="1:5" ht="36">
      <c r="A83" s="114" t="s">
        <v>400</v>
      </c>
      <c r="B83" s="115" t="s">
        <v>402</v>
      </c>
      <c r="C83" s="114" t="s">
        <v>316</v>
      </c>
      <c r="D83" s="189">
        <v>7</v>
      </c>
      <c r="E83" s="235" t="s">
        <v>472</v>
      </c>
    </row>
    <row r="84" spans="1:5" ht="36">
      <c r="A84" s="114" t="s">
        <v>403</v>
      </c>
      <c r="B84" s="115" t="s">
        <v>405</v>
      </c>
      <c r="C84" s="114" t="s">
        <v>316</v>
      </c>
      <c r="D84" s="189">
        <v>50</v>
      </c>
      <c r="E84" s="235" t="s">
        <v>472</v>
      </c>
    </row>
    <row r="85" spans="1:5" ht="36">
      <c r="A85" s="114" t="s">
        <v>406</v>
      </c>
      <c r="B85" s="115" t="s">
        <v>408</v>
      </c>
      <c r="C85" s="114" t="s">
        <v>248</v>
      </c>
      <c r="D85" s="189">
        <v>17</v>
      </c>
      <c r="E85" s="235" t="s">
        <v>472</v>
      </c>
    </row>
    <row r="86" spans="1:5" ht="48">
      <c r="A86" s="114" t="s">
        <v>409</v>
      </c>
      <c r="B86" s="115" t="s">
        <v>411</v>
      </c>
      <c r="C86" s="114" t="s">
        <v>248</v>
      </c>
      <c r="D86" s="189">
        <v>1</v>
      </c>
      <c r="E86" s="235" t="s">
        <v>472</v>
      </c>
    </row>
    <row r="87" spans="1:5" ht="24">
      <c r="A87" s="114" t="s">
        <v>412</v>
      </c>
      <c r="B87" s="115" t="s">
        <v>414</v>
      </c>
      <c r="C87" s="114" t="s">
        <v>316</v>
      </c>
      <c r="D87" s="189">
        <v>5</v>
      </c>
      <c r="E87" s="235" t="s">
        <v>472</v>
      </c>
    </row>
    <row r="88" spans="1:5" ht="36">
      <c r="A88" s="114" t="s">
        <v>415</v>
      </c>
      <c r="B88" s="115" t="s">
        <v>417</v>
      </c>
      <c r="C88" s="114" t="s">
        <v>293</v>
      </c>
      <c r="D88" s="189">
        <v>210.05</v>
      </c>
      <c r="E88" s="235" t="s">
        <v>472</v>
      </c>
    </row>
    <row r="89" spans="1:5" ht="36">
      <c r="A89" s="114" t="s">
        <v>418</v>
      </c>
      <c r="B89" s="115" t="s">
        <v>420</v>
      </c>
      <c r="C89" s="114" t="s">
        <v>293</v>
      </c>
      <c r="D89" s="189">
        <v>177.63</v>
      </c>
      <c r="E89" s="235" t="s">
        <v>472</v>
      </c>
    </row>
    <row r="90" spans="1:5" ht="36">
      <c r="A90" s="114" t="s">
        <v>421</v>
      </c>
      <c r="B90" s="115" t="s">
        <v>423</v>
      </c>
      <c r="C90" s="114" t="s">
        <v>293</v>
      </c>
      <c r="D90" s="189">
        <v>177.63</v>
      </c>
      <c r="E90" s="235" t="s">
        <v>473</v>
      </c>
    </row>
    <row r="91" spans="1:5" s="15" customFormat="1" ht="48">
      <c r="A91" s="114" t="s">
        <v>424</v>
      </c>
      <c r="B91" s="115" t="s">
        <v>426</v>
      </c>
      <c r="C91" s="114" t="s">
        <v>127</v>
      </c>
      <c r="D91" s="189">
        <v>177.63</v>
      </c>
      <c r="E91" s="235" t="s">
        <v>473</v>
      </c>
    </row>
    <row r="92" spans="1:5" ht="36">
      <c r="A92" s="114" t="s">
        <v>427</v>
      </c>
      <c r="B92" s="115" t="s">
        <v>429</v>
      </c>
      <c r="C92" s="114" t="s">
        <v>293</v>
      </c>
      <c r="D92" s="189">
        <v>1.75</v>
      </c>
      <c r="E92" s="235" t="s">
        <v>472</v>
      </c>
    </row>
    <row r="93" spans="1:5" ht="24">
      <c r="A93" s="114" t="s">
        <v>430</v>
      </c>
      <c r="B93" s="115" t="s">
        <v>432</v>
      </c>
      <c r="C93" s="114" t="s">
        <v>248</v>
      </c>
      <c r="D93" s="189">
        <v>1</v>
      </c>
      <c r="E93" s="235" t="s">
        <v>472</v>
      </c>
    </row>
    <row r="94" spans="1:5" ht="24">
      <c r="A94" s="114" t="s">
        <v>433</v>
      </c>
      <c r="B94" s="115" t="s">
        <v>435</v>
      </c>
      <c r="C94" s="114" t="s">
        <v>383</v>
      </c>
      <c r="D94" s="189">
        <v>4</v>
      </c>
      <c r="E94" s="235" t="s">
        <v>474</v>
      </c>
    </row>
    <row r="95" spans="1:5" s="15" customFormat="1">
      <c r="A95" s="190" t="s">
        <v>436</v>
      </c>
      <c r="B95" s="191" t="s">
        <v>183</v>
      </c>
      <c r="C95" s="190" t="s">
        <v>440</v>
      </c>
      <c r="D95" s="192"/>
      <c r="E95" s="234"/>
    </row>
    <row r="96" spans="1:5">
      <c r="A96" s="114" t="s">
        <v>437</v>
      </c>
      <c r="B96" s="115" t="s">
        <v>439</v>
      </c>
      <c r="C96" s="114" t="s">
        <v>223</v>
      </c>
      <c r="D96" s="189">
        <v>410.69</v>
      </c>
      <c r="E96" s="235" t="s">
        <v>475</v>
      </c>
    </row>
    <row r="97" spans="1:5">
      <c r="A97" s="39"/>
      <c r="B97" s="292"/>
      <c r="C97" s="39"/>
      <c r="D97" s="61"/>
      <c r="E97" s="308"/>
    </row>
    <row r="98" spans="1:5">
      <c r="A98" s="39"/>
      <c r="B98" s="292"/>
      <c r="C98" s="39"/>
      <c r="D98" s="61"/>
      <c r="E98" s="308"/>
    </row>
    <row r="99" spans="1:5">
      <c r="A99" s="39"/>
      <c r="B99" s="292"/>
      <c r="C99" s="39"/>
      <c r="D99" s="61"/>
      <c r="E99" s="308"/>
    </row>
    <row r="101" spans="1:5">
      <c r="B101" s="45" t="s">
        <v>70</v>
      </c>
    </row>
    <row r="102" spans="1:5">
      <c r="B102" s="45" t="s">
        <v>71</v>
      </c>
    </row>
    <row r="103" spans="1:5">
      <c r="B103" s="45" t="s">
        <v>72</v>
      </c>
    </row>
    <row r="112" spans="1:5" s="75" customFormat="1">
      <c r="A112" s="47"/>
      <c r="B112" s="45"/>
      <c r="C112" s="51"/>
      <c r="D112" s="64"/>
      <c r="E112" s="65"/>
    </row>
    <row r="133" spans="1:5" s="76" customFormat="1">
      <c r="A133" s="47"/>
      <c r="B133" s="45"/>
      <c r="C133" s="51"/>
      <c r="D133" s="64"/>
      <c r="E133" s="65"/>
    </row>
    <row r="142" spans="1:5" s="163" customFormat="1">
      <c r="A142" s="47"/>
      <c r="B142" s="45"/>
      <c r="C142" s="51"/>
      <c r="D142" s="64"/>
      <c r="E142" s="65"/>
    </row>
    <row r="153" spans="1:5" s="163" customFormat="1">
      <c r="A153" s="47"/>
      <c r="B153" s="45"/>
      <c r="C153" s="51"/>
      <c r="D153" s="64"/>
      <c r="E153" s="65"/>
    </row>
    <row r="173" spans="1:5" s="76" customFormat="1">
      <c r="A173" s="47"/>
      <c r="B173" s="45"/>
      <c r="C173" s="51"/>
      <c r="D173" s="64"/>
      <c r="E173" s="65"/>
    </row>
    <row r="176" spans="1:5" s="75" customFormat="1">
      <c r="A176" s="47"/>
      <c r="B176" s="45"/>
      <c r="C176" s="51"/>
      <c r="D176" s="64"/>
      <c r="E176" s="65"/>
    </row>
    <row r="226" spans="1:5" s="75" customFormat="1">
      <c r="A226" s="47"/>
      <c r="B226" s="45"/>
      <c r="C226" s="51"/>
      <c r="D226" s="64"/>
      <c r="E226" s="65"/>
    </row>
    <row r="268" spans="1:5" s="163" customFormat="1">
      <c r="A268" s="47"/>
      <c r="B268" s="45"/>
      <c r="C268" s="51"/>
      <c r="D268" s="64"/>
      <c r="E268" s="65"/>
    </row>
    <row r="294" spans="1:5" s="163" customFormat="1">
      <c r="A294" s="47"/>
      <c r="B294" s="45"/>
      <c r="C294" s="51"/>
      <c r="D294" s="64"/>
      <c r="E294" s="65"/>
    </row>
    <row r="299" spans="1:5" s="75" customFormat="1">
      <c r="A299" s="47"/>
      <c r="B299" s="45"/>
      <c r="C299" s="51"/>
      <c r="D299" s="64"/>
      <c r="E299" s="65"/>
    </row>
    <row r="300" spans="1:5" s="76" customFormat="1">
      <c r="A300" s="47"/>
      <c r="B300" s="45"/>
      <c r="C300" s="51"/>
      <c r="D300" s="64"/>
      <c r="E300" s="65"/>
    </row>
    <row r="302" spans="1:5" s="76" customFormat="1">
      <c r="A302" s="47"/>
      <c r="B302" s="45"/>
      <c r="C302" s="51"/>
      <c r="D302" s="64"/>
      <c r="E302" s="65"/>
    </row>
    <row r="325" spans="1:5" s="163" customFormat="1">
      <c r="A325" s="47"/>
      <c r="B325" s="45"/>
      <c r="C325" s="51"/>
      <c r="D325" s="64"/>
      <c r="E325" s="65"/>
    </row>
  </sheetData>
  <autoFilter ref="A8:E96"/>
  <mergeCells count="1">
    <mergeCell ref="A1:E1"/>
  </mergeCells>
  <pageMargins left="0.59055118110236227" right="0.59055118110236227" top="1.1811023622047245" bottom="0.59055118110236227" header="0.39370078740157483" footer="0.39370078740157483"/>
  <pageSetup paperSize="9" fitToHeight="0" orientation="landscape" r:id="rId1"/>
  <headerFooter>
    <oddHeader>&amp;L&amp;G&amp;R&amp;A</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sheetPr>
    <pageSetUpPr fitToPage="1"/>
  </sheetPr>
  <dimension ref="A1:L47"/>
  <sheetViews>
    <sheetView view="pageBreakPreview" zoomScale="130" zoomScaleSheetLayoutView="130" workbookViewId="0">
      <selection sqref="A1:H1"/>
    </sheetView>
  </sheetViews>
  <sheetFormatPr defaultColWidth="8.85546875" defaultRowHeight="12"/>
  <cols>
    <col min="1" max="1" width="10.28515625" style="47" customWidth="1"/>
    <col min="2" max="2" width="32.7109375" style="141" customWidth="1"/>
    <col min="3" max="3" width="18.5703125" style="52" bestFit="1" customWidth="1"/>
    <col min="4" max="4" width="15.42578125" style="87" bestFit="1" customWidth="1"/>
    <col min="5" max="5" width="16.28515625" style="87" bestFit="1" customWidth="1"/>
    <col min="6" max="7" width="16.28515625" style="87" customWidth="1"/>
    <col min="8" max="8" width="16.140625" style="146" bestFit="1" customWidth="1"/>
    <col min="9" max="9" width="13.28515625" style="43" bestFit="1" customWidth="1"/>
    <col min="10" max="16384" width="8.85546875" style="43"/>
  </cols>
  <sheetData>
    <row r="1" spans="1:9" s="38" customFormat="1" ht="15.75">
      <c r="A1" s="343" t="s">
        <v>54</v>
      </c>
      <c r="B1" s="343"/>
      <c r="C1" s="343"/>
      <c r="D1" s="343"/>
      <c r="E1" s="343"/>
      <c r="F1" s="343"/>
      <c r="G1" s="343"/>
      <c r="H1" s="343"/>
    </row>
    <row r="2" spans="1:9" s="38" customFormat="1">
      <c r="A2" s="46"/>
      <c r="B2" s="155"/>
      <c r="C2" s="70"/>
      <c r="D2" s="79"/>
      <c r="E2" s="80"/>
      <c r="F2" s="80"/>
      <c r="G2" s="80"/>
      <c r="H2" s="80"/>
    </row>
    <row r="3" spans="1:9" s="38" customFormat="1">
      <c r="A3" s="60" t="s">
        <v>1</v>
      </c>
      <c r="B3" s="155" t="str">
        <f>'PLANILHA ORÇAMENTÁRIA'!C3</f>
        <v>DELFIM MOREIRA ISS 4%</v>
      </c>
      <c r="C3" s="71"/>
      <c r="D3" s="81"/>
      <c r="E3" s="82"/>
      <c r="F3" s="82"/>
      <c r="G3" s="82"/>
      <c r="H3" s="82"/>
    </row>
    <row r="4" spans="1:9" s="38" customFormat="1">
      <c r="A4" s="60" t="s">
        <v>2</v>
      </c>
      <c r="B4" s="48" t="str">
        <f>'PLANILHA ORÇAMENTÁRIA'!C4</f>
        <v>REFORMA DA ESCOLA MUNICIPAL JOAQUIM PERES</v>
      </c>
      <c r="C4" s="72"/>
      <c r="D4" s="81"/>
      <c r="E4" s="82"/>
      <c r="F4" s="82"/>
      <c r="G4" s="82"/>
      <c r="H4" s="82"/>
    </row>
    <row r="5" spans="1:9" s="38" customFormat="1">
      <c r="A5" s="60" t="s">
        <v>3</v>
      </c>
      <c r="B5" s="123" t="str">
        <f>'PLANILHA ORÇAMENTÁRIA'!C5</f>
        <v>AGOSTO DE 2024</v>
      </c>
      <c r="C5" s="71"/>
      <c r="D5" s="81"/>
      <c r="E5" s="82"/>
      <c r="F5" s="82"/>
      <c r="G5" s="82"/>
      <c r="H5" s="82"/>
    </row>
    <row r="6" spans="1:9" s="38" customFormat="1">
      <c r="A6" s="60"/>
      <c r="B6" s="164" t="str">
        <f>'PLANILHA ORÇAMENTÁRIA'!C6</f>
        <v>REVISÃO ZERO</v>
      </c>
      <c r="C6" s="73"/>
      <c r="D6" s="83"/>
      <c r="E6" s="84"/>
      <c r="F6" s="84"/>
      <c r="G6" s="84"/>
      <c r="H6" s="143"/>
    </row>
    <row r="7" spans="1:9" s="38" customFormat="1">
      <c r="A7" s="77" t="s">
        <v>12</v>
      </c>
      <c r="B7" s="165">
        <f>'PLANILHA ORÇAMENTÁRIA'!C7</f>
        <v>0.24990000000000001</v>
      </c>
      <c r="C7" s="72"/>
      <c r="D7" s="81"/>
      <c r="E7" s="82"/>
      <c r="F7" s="82"/>
      <c r="G7" s="82"/>
      <c r="H7" s="143"/>
    </row>
    <row r="8" spans="1:9" s="38" customFormat="1">
      <c r="A8" s="78" t="s">
        <v>4</v>
      </c>
      <c r="B8" s="42" t="str">
        <f>'PLANILHA ORÇAMENTÁRIA'!C8</f>
        <v>SINAPI BH JULHO/2024 NÃO-DESONERADO</v>
      </c>
      <c r="C8" s="74"/>
      <c r="D8" s="83"/>
      <c r="E8" s="85"/>
      <c r="F8" s="85"/>
      <c r="G8" s="85"/>
      <c r="H8" s="143"/>
    </row>
    <row r="9" spans="1:9" s="38" customFormat="1">
      <c r="A9" s="78"/>
      <c r="B9" s="42" t="str">
        <f>'PLANILHA ORÇAMENTÁRIA'!C9</f>
        <v>SEINFRA-MG SUL ABRIL/2024 NÃO DESONERADO</v>
      </c>
      <c r="C9" s="74"/>
      <c r="D9" s="86"/>
      <c r="E9" s="86"/>
      <c r="F9" s="86"/>
      <c r="G9" s="86"/>
      <c r="H9" s="143"/>
    </row>
    <row r="10" spans="1:9" s="38" customFormat="1">
      <c r="A10" s="78"/>
      <c r="B10" s="42"/>
      <c r="C10" s="74"/>
      <c r="D10" s="86"/>
      <c r="E10" s="86"/>
      <c r="F10" s="86"/>
      <c r="G10" s="86"/>
      <c r="H10" s="143"/>
    </row>
    <row r="11" spans="1:9" s="38" customFormat="1" ht="23.25" thickBot="1">
      <c r="A11" s="14" t="s">
        <v>5</v>
      </c>
      <c r="B11" s="138" t="s">
        <v>8</v>
      </c>
      <c r="C11" s="88" t="str">
        <f>'PLANILHA ORÇAMENTÁRIA'!I11</f>
        <v>VALOR TOTAL COM BDI</v>
      </c>
      <c r="D11" s="158" t="s">
        <v>55</v>
      </c>
      <c r="E11" s="158" t="s">
        <v>56</v>
      </c>
      <c r="F11" s="158" t="s">
        <v>97</v>
      </c>
      <c r="G11" s="158" t="s">
        <v>98</v>
      </c>
      <c r="H11" s="158" t="s">
        <v>57</v>
      </c>
    </row>
    <row r="12" spans="1:9" s="54" customFormat="1">
      <c r="A12" s="196" t="s">
        <v>78</v>
      </c>
      <c r="B12" s="166" t="str">
        <f>'PLANILHA ORÇAMENTÁRIA'!D13</f>
        <v>ADMINISTRAÇÃO LOCAL</v>
      </c>
      <c r="C12" s="90">
        <f>C13/$C$42</f>
        <v>6.6692056710554698E-2</v>
      </c>
      <c r="D12" s="69">
        <f>D39</f>
        <v>9.4463795884362489E-2</v>
      </c>
      <c r="E12" s="69">
        <f t="shared" ref="E12:G12" si="0">E39</f>
        <v>0.12390169139174195</v>
      </c>
      <c r="F12" s="69">
        <f t="shared" si="0"/>
        <v>0.44542270558709807</v>
      </c>
      <c r="G12" s="69">
        <f t="shared" si="0"/>
        <v>0.33621180713679749</v>
      </c>
      <c r="H12" s="66">
        <f t="shared" ref="H12:H35" si="1">SUM(D12:G12)</f>
        <v>1</v>
      </c>
      <c r="I12" s="57"/>
    </row>
    <row r="13" spans="1:9" ht="12.75" thickBot="1">
      <c r="A13" s="92"/>
      <c r="B13" s="167"/>
      <c r="C13" s="91">
        <f>'PLANILHA ORÇAMENTÁRIA'!I13</f>
        <v>12198.4</v>
      </c>
      <c r="D13" s="67">
        <f>D12*$C$13</f>
        <v>1152.3071677158073</v>
      </c>
      <c r="E13" s="67">
        <f t="shared" ref="E13:G13" si="2">E12*$C$13</f>
        <v>1511.402392273025</v>
      </c>
      <c r="F13" s="67">
        <f t="shared" si="2"/>
        <v>5433.4443318336571</v>
      </c>
      <c r="G13" s="67">
        <f t="shared" si="2"/>
        <v>4101.24610817751</v>
      </c>
      <c r="H13" s="68">
        <f t="shared" si="1"/>
        <v>12198.4</v>
      </c>
      <c r="I13" s="57"/>
    </row>
    <row r="14" spans="1:9" s="54" customFormat="1">
      <c r="A14" s="196" t="s">
        <v>79</v>
      </c>
      <c r="B14" s="166" t="str">
        <f>'PLANILHA ORÇAMENTÁRIA'!D15</f>
        <v>SERVIÇOS PRELIMINARES</v>
      </c>
      <c r="C14" s="90">
        <f>C15/$C$42</f>
        <v>4.2079459902811464E-3</v>
      </c>
      <c r="D14" s="69">
        <v>1</v>
      </c>
      <c r="E14" s="69"/>
      <c r="F14" s="69"/>
      <c r="G14" s="69"/>
      <c r="H14" s="66">
        <f t="shared" si="1"/>
        <v>1</v>
      </c>
      <c r="I14" s="57"/>
    </row>
    <row r="15" spans="1:9" ht="12.75" thickBot="1">
      <c r="A15" s="92"/>
      <c r="B15" s="167"/>
      <c r="C15" s="91">
        <f>'PLANILHA ORÇAMENTÁRIA'!I15</f>
        <v>769.66</v>
      </c>
      <c r="D15" s="67">
        <f>D14*$C15</f>
        <v>769.66</v>
      </c>
      <c r="E15" s="67">
        <f t="shared" ref="E15:G15" si="3">E14*$C15</f>
        <v>0</v>
      </c>
      <c r="F15" s="67">
        <f t="shared" si="3"/>
        <v>0</v>
      </c>
      <c r="G15" s="67">
        <f t="shared" si="3"/>
        <v>0</v>
      </c>
      <c r="H15" s="68">
        <f t="shared" si="1"/>
        <v>769.66</v>
      </c>
      <c r="I15" s="57"/>
    </row>
    <row r="16" spans="1:9" s="54" customFormat="1">
      <c r="A16" s="89" t="s">
        <v>80</v>
      </c>
      <c r="B16" s="166" t="str">
        <f>'PLANILHA ORÇAMENTÁRIA'!D17</f>
        <v>DEMOLIÇÕES E REMOÇÕES</v>
      </c>
      <c r="C16" s="90">
        <f>C17/$C$42</f>
        <v>4.9203324499303855E-2</v>
      </c>
      <c r="D16" s="241">
        <f>3340.18/C17</f>
        <v>0.37114760656029155</v>
      </c>
      <c r="E16" s="69"/>
      <c r="F16" s="69">
        <f>1-D16</f>
        <v>0.62885239343970845</v>
      </c>
      <c r="G16" s="69"/>
      <c r="H16" s="66">
        <f t="shared" si="1"/>
        <v>1</v>
      </c>
      <c r="I16" s="57"/>
    </row>
    <row r="17" spans="1:9" ht="12.75" thickBot="1">
      <c r="A17" s="92"/>
      <c r="B17" s="167"/>
      <c r="C17" s="91">
        <f>'PLANILHA ORÇAMENTÁRIA'!I17</f>
        <v>8999.6</v>
      </c>
      <c r="D17" s="67">
        <f>D16*$C17</f>
        <v>3340.18</v>
      </c>
      <c r="E17" s="67">
        <f t="shared" ref="E17:G17" si="4">E16*$C17</f>
        <v>0</v>
      </c>
      <c r="F17" s="67">
        <f t="shared" si="4"/>
        <v>5659.42</v>
      </c>
      <c r="G17" s="67">
        <f t="shared" si="4"/>
        <v>0</v>
      </c>
      <c r="H17" s="68">
        <f t="shared" si="1"/>
        <v>8999.6</v>
      </c>
      <c r="I17" s="57"/>
    </row>
    <row r="18" spans="1:9" s="76" customFormat="1">
      <c r="A18" s="93" t="s">
        <v>81</v>
      </c>
      <c r="B18" s="168" t="str">
        <f>'PLANILHA ORÇAMENTÁRIA'!D27</f>
        <v>ALVENARIA</v>
      </c>
      <c r="C18" s="90">
        <f>C19/$C$42</f>
        <v>1.7799273661044228E-3</v>
      </c>
      <c r="D18" s="69">
        <v>1</v>
      </c>
      <c r="E18" s="69"/>
      <c r="F18" s="69"/>
      <c r="G18" s="69"/>
      <c r="H18" s="66">
        <f t="shared" si="1"/>
        <v>1</v>
      </c>
      <c r="I18" s="57"/>
    </row>
    <row r="19" spans="1:9" s="76" customFormat="1" ht="12.75" thickBot="1">
      <c r="A19" s="94"/>
      <c r="B19" s="169"/>
      <c r="C19" s="91">
        <f>'PLANILHA ORÇAMENTÁRIA'!I27</f>
        <v>325.56</v>
      </c>
      <c r="D19" s="67">
        <f t="shared" ref="D19:G19" si="5">D18*$C19</f>
        <v>325.56</v>
      </c>
      <c r="E19" s="67">
        <f t="shared" si="5"/>
        <v>0</v>
      </c>
      <c r="F19" s="67">
        <f t="shared" si="5"/>
        <v>0</v>
      </c>
      <c r="G19" s="67">
        <f t="shared" si="5"/>
        <v>0</v>
      </c>
      <c r="H19" s="68">
        <f t="shared" si="1"/>
        <v>325.56</v>
      </c>
      <c r="I19" s="57"/>
    </row>
    <row r="20" spans="1:9">
      <c r="A20" s="95" t="s">
        <v>82</v>
      </c>
      <c r="B20" s="142" t="str">
        <f>'PLANILHA ORÇAMENTÁRIA'!D29</f>
        <v>CORREÇÃO ESTRUTURAL</v>
      </c>
      <c r="C20" s="90">
        <f>C21/$C$42</f>
        <v>2.3717439209597655E-2</v>
      </c>
      <c r="D20" s="69"/>
      <c r="E20" s="69"/>
      <c r="F20" s="69">
        <v>1</v>
      </c>
      <c r="G20" s="69"/>
      <c r="H20" s="66">
        <f t="shared" si="1"/>
        <v>1</v>
      </c>
      <c r="I20" s="57"/>
    </row>
    <row r="21" spans="1:9" ht="12.75" thickBot="1">
      <c r="A21" s="96"/>
      <c r="B21" s="170"/>
      <c r="C21" s="91">
        <f>'PLANILHA ORÇAMENTÁRIA'!I29</f>
        <v>4338.07</v>
      </c>
      <c r="D21" s="67">
        <f t="shared" ref="D21:G21" si="6">D20*$C21</f>
        <v>0</v>
      </c>
      <c r="E21" s="67">
        <f t="shared" si="6"/>
        <v>0</v>
      </c>
      <c r="F21" s="67">
        <f t="shared" si="6"/>
        <v>4338.07</v>
      </c>
      <c r="G21" s="67">
        <f t="shared" si="6"/>
        <v>0</v>
      </c>
      <c r="H21" s="68">
        <f t="shared" si="1"/>
        <v>4338.07</v>
      </c>
      <c r="I21" s="57"/>
    </row>
    <row r="22" spans="1:9">
      <c r="A22" s="95" t="s">
        <v>83</v>
      </c>
      <c r="B22" s="142" t="str">
        <f>'PLANILHA ORÇAMENTÁRIA'!D36</f>
        <v>REVESTIMENTO</v>
      </c>
      <c r="C22" s="90">
        <f>C23/$C$42</f>
        <v>0.14479197385940804</v>
      </c>
      <c r="D22" s="69"/>
      <c r="E22" s="69"/>
      <c r="F22" s="69">
        <v>1</v>
      </c>
      <c r="G22" s="69"/>
      <c r="H22" s="66">
        <f t="shared" si="1"/>
        <v>1</v>
      </c>
      <c r="I22" s="57"/>
    </row>
    <row r="23" spans="1:9" ht="12.75" thickBot="1">
      <c r="A23" s="96"/>
      <c r="B23" s="170"/>
      <c r="C23" s="91">
        <f>'PLANILHA ORÇAMENTÁRIA'!I36</f>
        <v>26483.37</v>
      </c>
      <c r="D23" s="67">
        <f t="shared" ref="D23:G23" si="7">D22*$C23</f>
        <v>0</v>
      </c>
      <c r="E23" s="67">
        <f t="shared" si="7"/>
        <v>0</v>
      </c>
      <c r="F23" s="67">
        <f t="shared" si="7"/>
        <v>26483.37</v>
      </c>
      <c r="G23" s="67">
        <f t="shared" si="7"/>
        <v>0</v>
      </c>
      <c r="H23" s="68">
        <f t="shared" si="1"/>
        <v>26483.37</v>
      </c>
      <c r="I23" s="57"/>
    </row>
    <row r="24" spans="1:9">
      <c r="A24" s="95" t="s">
        <v>84</v>
      </c>
      <c r="B24" s="142" t="str">
        <f>'PLANILHA ORÇAMENTÁRIA'!D40</f>
        <v>PISO</v>
      </c>
      <c r="C24" s="90">
        <f>C25/$C$42</f>
        <v>7.9929870118225541E-2</v>
      </c>
      <c r="D24" s="69"/>
      <c r="E24" s="69">
        <v>1</v>
      </c>
      <c r="F24" s="69"/>
      <c r="G24" s="69"/>
      <c r="H24" s="66">
        <f t="shared" si="1"/>
        <v>1</v>
      </c>
      <c r="I24" s="57"/>
    </row>
    <row r="25" spans="1:9" ht="12.75" thickBot="1">
      <c r="A25" s="96"/>
      <c r="B25" s="170"/>
      <c r="C25" s="91">
        <f>'PLANILHA ORÇAMENTÁRIA'!I40</f>
        <v>14619.68</v>
      </c>
      <c r="D25" s="67">
        <f t="shared" ref="D25:G25" si="8">D24*$C25</f>
        <v>0</v>
      </c>
      <c r="E25" s="67">
        <f t="shared" si="8"/>
        <v>14619.68</v>
      </c>
      <c r="F25" s="67">
        <f t="shared" si="8"/>
        <v>0</v>
      </c>
      <c r="G25" s="67">
        <f t="shared" si="8"/>
        <v>0</v>
      </c>
      <c r="H25" s="68">
        <f t="shared" si="1"/>
        <v>14619.68</v>
      </c>
      <c r="I25" s="57"/>
    </row>
    <row r="26" spans="1:9" s="76" customFormat="1">
      <c r="A26" s="95" t="s">
        <v>85</v>
      </c>
      <c r="B26" s="142" t="str">
        <f>'PLANILHA ORÇAMENTÁRIA'!D42</f>
        <v>PINTURA</v>
      </c>
      <c r="C26" s="90">
        <f>C27/$C$42</f>
        <v>0.15046192493928859</v>
      </c>
      <c r="D26" s="69"/>
      <c r="E26" s="69"/>
      <c r="F26" s="69"/>
      <c r="G26" s="69">
        <v>1</v>
      </c>
      <c r="H26" s="66">
        <f t="shared" si="1"/>
        <v>1</v>
      </c>
      <c r="I26" s="57"/>
    </row>
    <row r="27" spans="1:9" s="76" customFormat="1" ht="12.75" thickBot="1">
      <c r="A27" s="96"/>
      <c r="B27" s="170"/>
      <c r="C27" s="91">
        <f>'PLANILHA ORÇAMENTÁRIA'!I42</f>
        <v>27520.44</v>
      </c>
      <c r="D27" s="67">
        <f t="shared" ref="D27:G37" si="9">D26*$C27</f>
        <v>0</v>
      </c>
      <c r="E27" s="67">
        <f t="shared" si="9"/>
        <v>0</v>
      </c>
      <c r="F27" s="67">
        <f t="shared" si="9"/>
        <v>0</v>
      </c>
      <c r="G27" s="67">
        <f t="shared" si="9"/>
        <v>27520.44</v>
      </c>
      <c r="H27" s="68">
        <f t="shared" si="1"/>
        <v>27520.44</v>
      </c>
      <c r="I27" s="57"/>
    </row>
    <row r="28" spans="1:9" s="76" customFormat="1">
      <c r="A28" s="95" t="s">
        <v>99</v>
      </c>
      <c r="B28" s="142" t="str">
        <f>'PLANILHA ORÇAMENTÁRIA'!D48</f>
        <v>COBERTURA e FORRO</v>
      </c>
      <c r="C28" s="90">
        <f t="shared" ref="C28" si="10">C29/$C$42</f>
        <v>0.20428247593823154</v>
      </c>
      <c r="D28" s="241">
        <f>5568.72/C29</f>
        <v>0.14903748364760619</v>
      </c>
      <c r="E28" s="241"/>
      <c r="F28" s="69">
        <v>0.5</v>
      </c>
      <c r="G28" s="241">
        <f>1-F28-D28</f>
        <v>0.35096251635239384</v>
      </c>
      <c r="H28" s="66">
        <f t="shared" si="1"/>
        <v>1</v>
      </c>
      <c r="I28" s="57"/>
    </row>
    <row r="29" spans="1:9" s="76" customFormat="1" ht="12.75" thickBot="1">
      <c r="A29" s="96"/>
      <c r="B29" s="170"/>
      <c r="C29" s="91">
        <f>'PLANILHA ORÇAMENTÁRIA'!I48</f>
        <v>37364.559999999998</v>
      </c>
      <c r="D29" s="67">
        <f t="shared" si="9"/>
        <v>5568.72</v>
      </c>
      <c r="E29" s="67">
        <f t="shared" si="9"/>
        <v>0</v>
      </c>
      <c r="F29" s="67">
        <f t="shared" si="9"/>
        <v>18682.28</v>
      </c>
      <c r="G29" s="67">
        <f t="shared" si="9"/>
        <v>13113.56</v>
      </c>
      <c r="H29" s="68">
        <f t="shared" si="1"/>
        <v>37364.559999999998</v>
      </c>
      <c r="I29" s="57"/>
    </row>
    <row r="30" spans="1:9" s="76" customFormat="1">
      <c r="A30" s="95" t="s">
        <v>100</v>
      </c>
      <c r="B30" s="142" t="str">
        <f>'PLANILHA ORÇAMENTÁRIA'!D54</f>
        <v>ESQUADRIAS</v>
      </c>
      <c r="C30" s="90">
        <f t="shared" ref="C30" si="11">C31/$C$42</f>
        <v>7.9352361432632676E-2</v>
      </c>
      <c r="D30" s="69"/>
      <c r="E30" s="69">
        <v>0.45</v>
      </c>
      <c r="F30" s="69">
        <v>0.55000000000000004</v>
      </c>
      <c r="G30" s="69"/>
      <c r="H30" s="66">
        <f t="shared" si="1"/>
        <v>1</v>
      </c>
      <c r="I30" s="57"/>
    </row>
    <row r="31" spans="1:9" s="76" customFormat="1" ht="12.75" thickBot="1">
      <c r="A31" s="96"/>
      <c r="B31" s="170"/>
      <c r="C31" s="91">
        <f>'PLANILHA ORÇAMENTÁRIA'!I54</f>
        <v>14514.05</v>
      </c>
      <c r="D31" s="67">
        <f t="shared" si="9"/>
        <v>0</v>
      </c>
      <c r="E31" s="67">
        <f t="shared" si="9"/>
        <v>6531.3225000000002</v>
      </c>
      <c r="F31" s="67">
        <f t="shared" si="9"/>
        <v>7982.7275</v>
      </c>
      <c r="G31" s="67">
        <f t="shared" si="9"/>
        <v>0</v>
      </c>
      <c r="H31" s="68">
        <f t="shared" si="1"/>
        <v>14514.05</v>
      </c>
      <c r="I31" s="57"/>
    </row>
    <row r="32" spans="1:9" s="76" customFormat="1">
      <c r="A32" s="95" t="s">
        <v>101</v>
      </c>
      <c r="B32" s="142" t="str">
        <f>'PLANILHA ORÇAMENTÁRIA'!D65</f>
        <v>OUTROS SERVIÇOS</v>
      </c>
      <c r="C32" s="90">
        <f t="shared" ref="C32" si="12">C33/$C$42</f>
        <v>3.3468495405900092E-2</v>
      </c>
      <c r="D32" s="69">
        <v>1</v>
      </c>
      <c r="E32" s="69"/>
      <c r="F32" s="69"/>
      <c r="G32" s="69"/>
      <c r="H32" s="66">
        <f t="shared" si="1"/>
        <v>1</v>
      </c>
      <c r="I32" s="57"/>
    </row>
    <row r="33" spans="1:12" s="76" customFormat="1" ht="12.75" thickBot="1">
      <c r="A33" s="96"/>
      <c r="B33" s="170"/>
      <c r="C33" s="91">
        <f>'PLANILHA ORÇAMENTÁRIA'!I65</f>
        <v>6121.6</v>
      </c>
      <c r="D33" s="67">
        <f t="shared" si="9"/>
        <v>6121.6</v>
      </c>
      <c r="E33" s="67">
        <f t="shared" si="9"/>
        <v>0</v>
      </c>
      <c r="F33" s="67">
        <f t="shared" si="9"/>
        <v>0</v>
      </c>
      <c r="G33" s="67">
        <f t="shared" si="9"/>
        <v>0</v>
      </c>
      <c r="H33" s="68">
        <f t="shared" si="1"/>
        <v>6121.6</v>
      </c>
      <c r="I33" s="57"/>
    </row>
    <row r="34" spans="1:12" s="76" customFormat="1">
      <c r="A34" s="95" t="s">
        <v>102</v>
      </c>
      <c r="B34" s="142" t="str">
        <f>'PLANILHA ORÇAMENTÁRIA'!D78</f>
        <v>INSTALAÇÕES ELÉTRICAS</v>
      </c>
      <c r="C34" s="90">
        <f t="shared" ref="C34" si="13">C35/$C$42</f>
        <v>0.14096094208653456</v>
      </c>
      <c r="D34" s="69"/>
      <c r="E34" s="69"/>
      <c r="F34" s="69">
        <v>0.5</v>
      </c>
      <c r="G34" s="69">
        <v>0.5</v>
      </c>
      <c r="H34" s="66">
        <f t="shared" si="1"/>
        <v>1</v>
      </c>
      <c r="I34" s="57"/>
    </row>
    <row r="35" spans="1:12" s="76" customFormat="1" ht="12.75" thickBot="1">
      <c r="A35" s="96"/>
      <c r="B35" s="170"/>
      <c r="C35" s="91">
        <f>'PLANILHA ORÇAMENTÁRIA'!I78</f>
        <v>25782.65</v>
      </c>
      <c r="D35" s="67">
        <f t="shared" si="9"/>
        <v>0</v>
      </c>
      <c r="E35" s="67">
        <f t="shared" si="9"/>
        <v>0</v>
      </c>
      <c r="F35" s="67">
        <f t="shared" si="9"/>
        <v>12891.325000000001</v>
      </c>
      <c r="G35" s="67">
        <f t="shared" si="9"/>
        <v>12891.325000000001</v>
      </c>
      <c r="H35" s="68">
        <f t="shared" si="1"/>
        <v>25782.65</v>
      </c>
      <c r="I35" s="57"/>
    </row>
    <row r="36" spans="1:12" s="76" customFormat="1">
      <c r="A36" s="95" t="s">
        <v>103</v>
      </c>
      <c r="B36" s="142" t="str">
        <f>'PLANILHA ORÇAMENTÁRIA'!D98</f>
        <v>SERVIÇOS FINAIS</v>
      </c>
      <c r="C36" s="90">
        <f t="shared" ref="C36" si="14">C37/$C$42</f>
        <v>2.1151262443937155E-2</v>
      </c>
      <c r="D36" s="69"/>
      <c r="E36" s="69"/>
      <c r="F36" s="69"/>
      <c r="G36" s="69">
        <v>1</v>
      </c>
      <c r="H36" s="66">
        <f>SUM(D36:G36)</f>
        <v>1</v>
      </c>
      <c r="I36" s="57"/>
    </row>
    <row r="37" spans="1:12" s="76" customFormat="1" ht="12.75" thickBot="1">
      <c r="A37" s="96"/>
      <c r="B37" s="170"/>
      <c r="C37" s="91">
        <f>'PLANILHA ORÇAMENTÁRIA'!I98</f>
        <v>3868.7</v>
      </c>
      <c r="D37" s="67">
        <f t="shared" si="9"/>
        <v>0</v>
      </c>
      <c r="E37" s="67">
        <f t="shared" si="9"/>
        <v>0</v>
      </c>
      <c r="F37" s="67">
        <f t="shared" si="9"/>
        <v>0</v>
      </c>
      <c r="G37" s="67">
        <f t="shared" si="9"/>
        <v>3868.7</v>
      </c>
      <c r="H37" s="68">
        <f>SUM(D37:G37)</f>
        <v>3868.7</v>
      </c>
      <c r="I37" s="57"/>
    </row>
    <row r="38" spans="1:12" ht="12.75" thickBot="1">
      <c r="A38" s="96"/>
      <c r="B38" s="139"/>
      <c r="C38" s="97"/>
      <c r="D38" s="136"/>
      <c r="E38" s="136"/>
      <c r="F38" s="239"/>
      <c r="G38" s="239"/>
      <c r="H38" s="137"/>
      <c r="I38" s="57"/>
    </row>
    <row r="39" spans="1:12" s="151" customFormat="1" hidden="1">
      <c r="B39" s="147" t="s">
        <v>58</v>
      </c>
      <c r="C39" s="148">
        <f>C26+C24+C22+C20+C18+C16+C14+C28+C30+C32+C34+C36</f>
        <v>0.93330794328944533</v>
      </c>
      <c r="D39" s="149">
        <f>D40/C40</f>
        <v>9.4463795884362489E-2</v>
      </c>
      <c r="E39" s="150">
        <f>E40/C40</f>
        <v>0.12390169139174195</v>
      </c>
      <c r="F39" s="150">
        <f>F40/C40</f>
        <v>0.44542270558709807</v>
      </c>
      <c r="G39" s="150">
        <f>G40/C40</f>
        <v>0.33621180713679749</v>
      </c>
      <c r="H39" s="150">
        <f>H40/C40</f>
        <v>1</v>
      </c>
    </row>
    <row r="40" spans="1:12" s="151" customFormat="1" hidden="1">
      <c r="A40" s="135"/>
      <c r="B40" s="147" t="s">
        <v>59</v>
      </c>
      <c r="C40" s="152">
        <f>C27+C25+C23+C21+C19+C17+C15+C29+C31+C33+C35+C37</f>
        <v>170707.94</v>
      </c>
      <c r="D40" s="152">
        <f>D27+D25+D23+D21+D19+D17+D15+D29+D31+D33+D35+D37</f>
        <v>16125.72</v>
      </c>
      <c r="E40" s="152">
        <f t="shared" ref="E40:H40" si="15">E27+E25+E23+E21+E19+E17+E15+E29+E31+E33+E35+E37</f>
        <v>21151.002500000002</v>
      </c>
      <c r="F40" s="152">
        <f>F27+F25+F23+F21+F19+F17+F15+F29+F31+F33+F35+F37</f>
        <v>76037.192500000005</v>
      </c>
      <c r="G40" s="152">
        <f t="shared" si="15"/>
        <v>57394.024999999994</v>
      </c>
      <c r="H40" s="152">
        <f t="shared" si="15"/>
        <v>170707.94</v>
      </c>
    </row>
    <row r="41" spans="1:12" s="111" customFormat="1" ht="15">
      <c r="A41" s="354" t="s">
        <v>57</v>
      </c>
      <c r="B41" s="140" t="s">
        <v>58</v>
      </c>
      <c r="C41" s="172">
        <f>C26+C24+C22+C20+C18+C16+C14+C12+C28+C30+C32+C34+C36</f>
        <v>1</v>
      </c>
      <c r="D41" s="110">
        <f>D42/C42</f>
        <v>9.4463795884362503E-2</v>
      </c>
      <c r="E41" s="110">
        <f>E42/C42</f>
        <v>0.12390169139174195</v>
      </c>
      <c r="F41" s="110">
        <f>F42/C42</f>
        <v>0.44542270558709801</v>
      </c>
      <c r="G41" s="110">
        <f>G42/C42</f>
        <v>0.33621180713679749</v>
      </c>
      <c r="H41" s="110">
        <f>H42/C42</f>
        <v>1</v>
      </c>
    </row>
    <row r="42" spans="1:12" s="173" customFormat="1" ht="15">
      <c r="A42" s="355"/>
      <c r="B42" s="140" t="s">
        <v>68</v>
      </c>
      <c r="C42" s="144">
        <f>C27+C25+C23+C21+C19+C17+C15+C13+C29+C31+C33+C35+C37</f>
        <v>182906.34</v>
      </c>
      <c r="D42" s="144">
        <f t="shared" ref="D42:H42" si="16">D27+D25+D23+D21+D19+D17+D15+D13+D29+D31+D33+D35+D37</f>
        <v>17278.027167715809</v>
      </c>
      <c r="E42" s="144">
        <f t="shared" si="16"/>
        <v>22662.404892273025</v>
      </c>
      <c r="F42" s="144">
        <f t="shared" si="16"/>
        <v>81470.636831833646</v>
      </c>
      <c r="G42" s="144">
        <f t="shared" si="16"/>
        <v>61495.271108177505</v>
      </c>
      <c r="H42" s="144">
        <f t="shared" si="16"/>
        <v>182906.34</v>
      </c>
    </row>
    <row r="43" spans="1:12">
      <c r="E43" s="240"/>
    </row>
    <row r="44" spans="1:12">
      <c r="B44" s="171"/>
      <c r="C44" s="47"/>
      <c r="D44" s="45"/>
      <c r="E44" s="51"/>
      <c r="F44" s="51"/>
      <c r="G44" s="51"/>
      <c r="H44" s="145"/>
      <c r="I44" s="52"/>
      <c r="K44" s="57"/>
      <c r="L44" s="44"/>
    </row>
    <row r="45" spans="1:12">
      <c r="B45" s="141" t="s">
        <v>70</v>
      </c>
      <c r="C45" s="47"/>
      <c r="D45" s="43"/>
      <c r="E45" s="51"/>
      <c r="F45" s="51"/>
      <c r="G45" s="51"/>
      <c r="H45" s="145"/>
      <c r="I45" s="52"/>
      <c r="K45" s="57"/>
      <c r="L45" s="44"/>
    </row>
    <row r="46" spans="1:12">
      <c r="B46" s="141" t="s">
        <v>71</v>
      </c>
      <c r="C46" s="47"/>
      <c r="D46" s="43"/>
      <c r="E46" s="51"/>
      <c r="F46" s="51"/>
      <c r="G46" s="51"/>
      <c r="H46" s="145"/>
      <c r="I46" s="52"/>
      <c r="L46" s="44"/>
    </row>
    <row r="47" spans="1:12">
      <c r="B47" s="141" t="s">
        <v>72</v>
      </c>
      <c r="C47" s="47"/>
      <c r="D47" s="43"/>
      <c r="E47" s="51"/>
      <c r="F47" s="51"/>
      <c r="G47" s="51"/>
      <c r="H47" s="145"/>
      <c r="I47" s="52"/>
      <c r="L47" s="44"/>
    </row>
  </sheetData>
  <mergeCells count="2">
    <mergeCell ref="A41:A42"/>
    <mergeCell ref="A1:H1"/>
  </mergeCells>
  <conditionalFormatting sqref="D38:G38">
    <cfRule type="cellIs" dxfId="6" priority="82" stopIfTrue="1" operator="notEqual">
      <formula>0</formula>
    </cfRule>
  </conditionalFormatting>
  <conditionalFormatting sqref="D14:E27">
    <cfRule type="cellIs" dxfId="5" priority="6" stopIfTrue="1" operator="notEqual">
      <formula>0</formula>
    </cfRule>
  </conditionalFormatting>
  <conditionalFormatting sqref="D12:E13">
    <cfRule type="cellIs" dxfId="4" priority="5" stopIfTrue="1" operator="notEqual">
      <formula>0</formula>
    </cfRule>
  </conditionalFormatting>
  <conditionalFormatting sqref="D28:E37">
    <cfRule type="cellIs" dxfId="3" priority="4" stopIfTrue="1" operator="notEqual">
      <formula>0</formula>
    </cfRule>
  </conditionalFormatting>
  <conditionalFormatting sqref="F14:G27">
    <cfRule type="cellIs" dxfId="2" priority="3" stopIfTrue="1" operator="notEqual">
      <formula>0</formula>
    </cfRule>
  </conditionalFormatting>
  <conditionalFormatting sqref="F12:G13">
    <cfRule type="cellIs" dxfId="1" priority="2" stopIfTrue="1" operator="notEqual">
      <formula>0</formula>
    </cfRule>
  </conditionalFormatting>
  <conditionalFormatting sqref="F28:G37">
    <cfRule type="cellIs" dxfId="0" priority="1" stopIfTrue="1" operator="notEqual">
      <formula>0</formula>
    </cfRule>
  </conditionalFormatting>
  <pageMargins left="0.59055118110236227" right="0.59055118110236227" top="1.1811023622047245" bottom="0.59055118110236227" header="0.39370078740157483" footer="0.39370078740157483"/>
  <pageSetup paperSize="9" scale="64" fitToHeight="0" orientation="portrait" r:id="rId1"/>
  <headerFooter>
    <oddHeader>&amp;L&amp;G&amp;R&amp;A</oddHeader>
    <oddFooter>Página &amp;P de &amp;N</oddFooter>
  </headerFooter>
  <legacyDrawingHF r:id="rId2"/>
</worksheet>
</file>

<file path=xl/worksheets/sheet5.xml><?xml version="1.0" encoding="utf-8"?>
<worksheet xmlns="http://schemas.openxmlformats.org/spreadsheetml/2006/main" xmlns:r="http://schemas.openxmlformats.org/officeDocument/2006/relationships">
  <sheetPr>
    <pageSetUpPr fitToPage="1"/>
  </sheetPr>
  <dimension ref="A1:K53"/>
  <sheetViews>
    <sheetView view="pageBreakPreview" zoomScale="110" zoomScaleSheetLayoutView="110" workbookViewId="0">
      <selection sqref="A1:G1"/>
    </sheetView>
  </sheetViews>
  <sheetFormatPr defaultColWidth="8.85546875" defaultRowHeight="12"/>
  <cols>
    <col min="1" max="1" width="12.28515625" style="47" customWidth="1"/>
    <col min="2" max="2" width="9.42578125" style="47" bestFit="1" customWidth="1"/>
    <col min="3" max="3" width="52.7109375" style="47" customWidth="1"/>
    <col min="4" max="4" width="5.140625" style="141" bestFit="1" customWidth="1"/>
    <col min="5" max="5" width="6" style="51" bestFit="1" customWidth="1"/>
    <col min="6" max="6" width="11" style="64" bestFit="1" customWidth="1"/>
    <col min="7" max="7" width="10.28515625" style="134" bestFit="1" customWidth="1"/>
    <col min="8" max="8" width="12.42578125" style="43" bestFit="1" customWidth="1"/>
    <col min="9" max="16384" width="8.85546875" style="43"/>
  </cols>
  <sheetData>
    <row r="1" spans="1:7" s="38" customFormat="1" ht="18">
      <c r="A1" s="356" t="s">
        <v>60</v>
      </c>
      <c r="B1" s="356"/>
      <c r="C1" s="356"/>
      <c r="D1" s="356"/>
      <c r="E1" s="356"/>
      <c r="F1" s="356"/>
      <c r="G1" s="356"/>
    </row>
    <row r="2" spans="1:7" s="38" customFormat="1">
      <c r="A2" s="46"/>
      <c r="B2" s="46"/>
      <c r="C2" s="39"/>
      <c r="D2" s="183"/>
      <c r="E2" s="39"/>
      <c r="F2" s="61"/>
      <c r="G2" s="131"/>
    </row>
    <row r="3" spans="1:7" s="101" customFormat="1" ht="15">
      <c r="A3" s="357" t="s">
        <v>1</v>
      </c>
      <c r="B3" s="357"/>
      <c r="C3" s="98" t="s">
        <v>73</v>
      </c>
      <c r="D3" s="99"/>
      <c r="E3" s="100"/>
      <c r="F3" s="198"/>
      <c r="G3" s="202"/>
    </row>
    <row r="4" spans="1:7" s="101" customFormat="1" ht="15">
      <c r="A4" s="357" t="s">
        <v>2</v>
      </c>
      <c r="B4" s="357"/>
      <c r="C4" s="129" t="s">
        <v>93</v>
      </c>
      <c r="D4" s="184"/>
      <c r="E4" s="102"/>
      <c r="F4" s="199"/>
      <c r="G4" s="203"/>
    </row>
    <row r="5" spans="1:7" s="101" customFormat="1" ht="15">
      <c r="A5" s="357" t="s">
        <v>3</v>
      </c>
      <c r="B5" s="357"/>
      <c r="C5" s="103" t="s">
        <v>13</v>
      </c>
      <c r="D5" s="125"/>
      <c r="E5" s="104"/>
      <c r="F5" s="200"/>
      <c r="G5" s="203"/>
    </row>
    <row r="6" spans="1:7" s="101" customFormat="1" ht="15">
      <c r="A6" s="105"/>
      <c r="B6" s="105"/>
      <c r="C6" s="106" t="s">
        <v>74</v>
      </c>
      <c r="D6" s="125"/>
      <c r="E6" s="104"/>
      <c r="F6" s="200"/>
      <c r="G6" s="203"/>
    </row>
    <row r="7" spans="1:7" s="153" customFormat="1">
      <c r="A7" s="358" t="s">
        <v>62</v>
      </c>
      <c r="B7" s="359" t="s">
        <v>61</v>
      </c>
      <c r="C7" s="360" t="s">
        <v>63</v>
      </c>
      <c r="D7" s="358" t="s">
        <v>64</v>
      </c>
      <c r="E7" s="361" t="s">
        <v>65</v>
      </c>
      <c r="F7" s="362" t="s">
        <v>66</v>
      </c>
      <c r="G7" s="362"/>
    </row>
    <row r="8" spans="1:7" s="53" customFormat="1">
      <c r="A8" s="358"/>
      <c r="B8" s="359"/>
      <c r="C8" s="360"/>
      <c r="D8" s="358"/>
      <c r="E8" s="361"/>
      <c r="F8" s="204" t="s">
        <v>67</v>
      </c>
      <c r="G8" s="113" t="s">
        <v>68</v>
      </c>
    </row>
    <row r="9" spans="1:7" s="53" customFormat="1">
      <c r="A9" s="327"/>
      <c r="B9" s="328"/>
      <c r="C9" s="328"/>
      <c r="D9" s="328"/>
      <c r="E9" s="328"/>
      <c r="F9" s="328"/>
      <c r="G9" s="329"/>
    </row>
    <row r="10" spans="1:7" s="53" customFormat="1" ht="24">
      <c r="A10" s="176" t="s">
        <v>204</v>
      </c>
      <c r="B10" s="176" t="s">
        <v>434</v>
      </c>
      <c r="C10" s="177" t="s">
        <v>435</v>
      </c>
      <c r="D10" s="176" t="s">
        <v>383</v>
      </c>
      <c r="E10" s="201"/>
      <c r="F10" s="205"/>
      <c r="G10" s="206">
        <v>85.06</v>
      </c>
    </row>
    <row r="11" spans="1:7" ht="48">
      <c r="A11" s="181" t="s">
        <v>476</v>
      </c>
      <c r="B11" s="182" t="s">
        <v>477</v>
      </c>
      <c r="C11" s="197" t="s">
        <v>478</v>
      </c>
      <c r="D11" s="178" t="s">
        <v>248</v>
      </c>
      <c r="E11" s="109">
        <v>1</v>
      </c>
      <c r="F11" s="132">
        <v>65.989999999999995</v>
      </c>
      <c r="G11" s="132">
        <v>65.989999999999995</v>
      </c>
    </row>
    <row r="12" spans="1:7" ht="24">
      <c r="A12" s="181" t="s">
        <v>193</v>
      </c>
      <c r="B12" s="182" t="s">
        <v>479</v>
      </c>
      <c r="C12" s="197" t="s">
        <v>480</v>
      </c>
      <c r="D12" s="178" t="s">
        <v>196</v>
      </c>
      <c r="E12" s="109">
        <v>0.37</v>
      </c>
      <c r="F12" s="132">
        <v>23.03</v>
      </c>
      <c r="G12" s="132">
        <v>8.52</v>
      </c>
    </row>
    <row r="13" spans="1:7">
      <c r="A13" s="181" t="s">
        <v>193</v>
      </c>
      <c r="B13" s="182" t="s">
        <v>481</v>
      </c>
      <c r="C13" s="197" t="s">
        <v>482</v>
      </c>
      <c r="D13" s="178" t="s">
        <v>196</v>
      </c>
      <c r="E13" s="109">
        <v>0.37</v>
      </c>
      <c r="F13" s="132">
        <v>28.54</v>
      </c>
      <c r="G13" s="132">
        <v>10.55</v>
      </c>
    </row>
    <row r="14" spans="1:7" s="53" customFormat="1">
      <c r="A14" s="181"/>
      <c r="B14" s="182"/>
      <c r="C14" s="197"/>
      <c r="D14" s="178"/>
      <c r="E14" s="109"/>
      <c r="F14" s="132"/>
      <c r="G14" s="132"/>
    </row>
    <row r="15" spans="1:7" ht="48">
      <c r="A15" s="179" t="s">
        <v>204</v>
      </c>
      <c r="B15" s="180" t="s">
        <v>205</v>
      </c>
      <c r="C15" s="177" t="s">
        <v>206</v>
      </c>
      <c r="D15" s="176" t="s">
        <v>126</v>
      </c>
      <c r="E15" s="130"/>
      <c r="F15" s="205"/>
      <c r="G15" s="206">
        <v>19.239999999999998</v>
      </c>
    </row>
    <row r="16" spans="1:7">
      <c r="A16" s="181" t="s">
        <v>193</v>
      </c>
      <c r="B16" s="182" t="s">
        <v>483</v>
      </c>
      <c r="C16" s="197" t="s">
        <v>484</v>
      </c>
      <c r="D16" s="178" t="s">
        <v>196</v>
      </c>
      <c r="E16" s="109">
        <v>0.39639639999999998</v>
      </c>
      <c r="F16" s="132">
        <v>28.15</v>
      </c>
      <c r="G16" s="132">
        <v>11.15</v>
      </c>
    </row>
    <row r="17" spans="1:7">
      <c r="A17" s="181" t="s">
        <v>193</v>
      </c>
      <c r="B17" s="182" t="s">
        <v>485</v>
      </c>
      <c r="C17" s="197" t="s">
        <v>486</v>
      </c>
      <c r="D17" s="178" t="s">
        <v>196</v>
      </c>
      <c r="E17" s="109">
        <v>0.39639639999999998</v>
      </c>
      <c r="F17" s="132">
        <v>20.41</v>
      </c>
      <c r="G17" s="132">
        <v>8.09</v>
      </c>
    </row>
    <row r="18" spans="1:7">
      <c r="A18" s="181"/>
      <c r="B18" s="182"/>
      <c r="C18" s="197"/>
      <c r="D18" s="178"/>
      <c r="E18" s="109"/>
      <c r="F18" s="132"/>
      <c r="G18" s="132"/>
    </row>
    <row r="19" spans="1:7" ht="24">
      <c r="A19" s="179" t="s">
        <v>204</v>
      </c>
      <c r="B19" s="180" t="s">
        <v>385</v>
      </c>
      <c r="C19" s="177" t="s">
        <v>386</v>
      </c>
      <c r="D19" s="176" t="s">
        <v>387</v>
      </c>
      <c r="E19" s="130"/>
      <c r="F19" s="205"/>
      <c r="G19" s="206">
        <v>43.05</v>
      </c>
    </row>
    <row r="20" spans="1:7" ht="60">
      <c r="A20" s="181" t="s">
        <v>476</v>
      </c>
      <c r="B20" s="182" t="s">
        <v>487</v>
      </c>
      <c r="C20" s="197" t="s">
        <v>488</v>
      </c>
      <c r="D20" s="178" t="s">
        <v>248</v>
      </c>
      <c r="E20" s="109">
        <v>1</v>
      </c>
      <c r="F20" s="132">
        <v>31.6065</v>
      </c>
      <c r="G20" s="132">
        <v>31.6</v>
      </c>
    </row>
    <row r="21" spans="1:7" ht="24">
      <c r="A21" s="181" t="s">
        <v>193</v>
      </c>
      <c r="B21" s="182" t="s">
        <v>479</v>
      </c>
      <c r="C21" s="197" t="s">
        <v>480</v>
      </c>
      <c r="D21" s="178" t="s">
        <v>196</v>
      </c>
      <c r="E21" s="109">
        <v>0.222</v>
      </c>
      <c r="F21" s="132">
        <v>23.03</v>
      </c>
      <c r="G21" s="132">
        <v>5.1100000000000003</v>
      </c>
    </row>
    <row r="22" spans="1:7">
      <c r="A22" s="181" t="s">
        <v>193</v>
      </c>
      <c r="B22" s="182" t="s">
        <v>481</v>
      </c>
      <c r="C22" s="197" t="s">
        <v>482</v>
      </c>
      <c r="D22" s="178" t="s">
        <v>196</v>
      </c>
      <c r="E22" s="109">
        <v>0.222</v>
      </c>
      <c r="F22" s="132">
        <v>28.54</v>
      </c>
      <c r="G22" s="132">
        <v>6.33</v>
      </c>
    </row>
    <row r="23" spans="1:7">
      <c r="A23" s="181"/>
      <c r="B23" s="182"/>
      <c r="C23" s="197"/>
      <c r="D23" s="178"/>
      <c r="E23" s="109"/>
      <c r="F23" s="132"/>
      <c r="G23" s="132"/>
    </row>
    <row r="24" spans="1:7" s="53" customFormat="1" ht="24">
      <c r="A24" s="179" t="s">
        <v>204</v>
      </c>
      <c r="B24" s="180" t="s">
        <v>314</v>
      </c>
      <c r="C24" s="177" t="s">
        <v>315</v>
      </c>
      <c r="D24" s="176" t="s">
        <v>316</v>
      </c>
      <c r="E24" s="130"/>
      <c r="F24" s="205"/>
      <c r="G24" s="206">
        <v>279.5</v>
      </c>
    </row>
    <row r="25" spans="1:7">
      <c r="A25" s="181" t="s">
        <v>489</v>
      </c>
      <c r="B25" s="182" t="s">
        <v>490</v>
      </c>
      <c r="C25" s="197" t="s">
        <v>491</v>
      </c>
      <c r="D25" s="178" t="s">
        <v>492</v>
      </c>
      <c r="E25" s="109">
        <v>19.8</v>
      </c>
      <c r="F25" s="132">
        <v>0.1</v>
      </c>
      <c r="G25" s="132">
        <v>1.98</v>
      </c>
    </row>
    <row r="26" spans="1:7" ht="24">
      <c r="A26" s="181" t="s">
        <v>193</v>
      </c>
      <c r="B26" s="182" t="s">
        <v>493</v>
      </c>
      <c r="C26" s="197" t="s">
        <v>494</v>
      </c>
      <c r="D26" s="178" t="s">
        <v>196</v>
      </c>
      <c r="E26" s="109">
        <v>1.546</v>
      </c>
      <c r="F26" s="132">
        <v>31.35</v>
      </c>
      <c r="G26" s="132">
        <v>48.46</v>
      </c>
    </row>
    <row r="27" spans="1:7">
      <c r="A27" s="181" t="s">
        <v>193</v>
      </c>
      <c r="B27" s="182" t="s">
        <v>483</v>
      </c>
      <c r="C27" s="197" t="s">
        <v>484</v>
      </c>
      <c r="D27" s="178" t="s">
        <v>196</v>
      </c>
      <c r="E27" s="109">
        <v>0.221</v>
      </c>
      <c r="F27" s="132">
        <v>28.15</v>
      </c>
      <c r="G27" s="132">
        <v>6.22</v>
      </c>
    </row>
    <row r="28" spans="1:7">
      <c r="A28" s="181" t="s">
        <v>193</v>
      </c>
      <c r="B28" s="182" t="s">
        <v>485</v>
      </c>
      <c r="C28" s="197" t="s">
        <v>486</v>
      </c>
      <c r="D28" s="178" t="s">
        <v>196</v>
      </c>
      <c r="E28" s="109">
        <v>1.2070000000000001</v>
      </c>
      <c r="F28" s="132">
        <v>20.41</v>
      </c>
      <c r="G28" s="132">
        <v>24.63</v>
      </c>
    </row>
    <row r="29" spans="1:7">
      <c r="A29" s="181" t="s">
        <v>489</v>
      </c>
      <c r="B29" s="182" t="s">
        <v>495</v>
      </c>
      <c r="C29" s="197" t="s">
        <v>496</v>
      </c>
      <c r="D29" s="178" t="s">
        <v>492</v>
      </c>
      <c r="E29" s="109">
        <v>1</v>
      </c>
      <c r="F29" s="132">
        <v>198.21</v>
      </c>
      <c r="G29" s="132">
        <v>198.21</v>
      </c>
    </row>
    <row r="30" spans="1:7">
      <c r="A30" s="181"/>
      <c r="B30" s="182"/>
      <c r="C30" s="197"/>
      <c r="D30" s="178"/>
      <c r="E30" s="109"/>
      <c r="F30" s="132"/>
      <c r="G30" s="132"/>
    </row>
    <row r="31" spans="1:7" s="53" customFormat="1" ht="24">
      <c r="A31" s="179" t="s">
        <v>204</v>
      </c>
      <c r="B31" s="180" t="s">
        <v>318</v>
      </c>
      <c r="C31" s="177" t="s">
        <v>319</v>
      </c>
      <c r="D31" s="176" t="s">
        <v>316</v>
      </c>
      <c r="E31" s="130"/>
      <c r="F31" s="205"/>
      <c r="G31" s="206">
        <v>352.2</v>
      </c>
    </row>
    <row r="32" spans="1:7">
      <c r="A32" s="181" t="s">
        <v>489</v>
      </c>
      <c r="B32" s="182" t="s">
        <v>490</v>
      </c>
      <c r="C32" s="197" t="s">
        <v>491</v>
      </c>
      <c r="D32" s="178" t="s">
        <v>492</v>
      </c>
      <c r="E32" s="109">
        <v>19.8</v>
      </c>
      <c r="F32" s="132">
        <v>0.1</v>
      </c>
      <c r="G32" s="132">
        <v>1.98</v>
      </c>
    </row>
    <row r="33" spans="1:11" ht="24">
      <c r="A33" s="181" t="s">
        <v>193</v>
      </c>
      <c r="B33" s="182" t="s">
        <v>493</v>
      </c>
      <c r="C33" s="197" t="s">
        <v>494</v>
      </c>
      <c r="D33" s="178" t="s">
        <v>196</v>
      </c>
      <c r="E33" s="109">
        <v>1.6779999999999999</v>
      </c>
      <c r="F33" s="132">
        <v>31.35</v>
      </c>
      <c r="G33" s="132">
        <v>52.6</v>
      </c>
    </row>
    <row r="34" spans="1:11">
      <c r="A34" s="181" t="s">
        <v>193</v>
      </c>
      <c r="B34" s="182" t="s">
        <v>483</v>
      </c>
      <c r="C34" s="197" t="s">
        <v>484</v>
      </c>
      <c r="D34" s="178" t="s">
        <v>196</v>
      </c>
      <c r="E34" s="109">
        <v>0.249</v>
      </c>
      <c r="F34" s="132">
        <v>28.15</v>
      </c>
      <c r="G34" s="132">
        <v>7</v>
      </c>
    </row>
    <row r="35" spans="1:11">
      <c r="A35" s="181" t="s">
        <v>193</v>
      </c>
      <c r="B35" s="182" t="s">
        <v>485</v>
      </c>
      <c r="C35" s="197" t="s">
        <v>486</v>
      </c>
      <c r="D35" s="178" t="s">
        <v>196</v>
      </c>
      <c r="E35" s="109">
        <v>1.327</v>
      </c>
      <c r="F35" s="132">
        <v>20.41</v>
      </c>
      <c r="G35" s="132">
        <v>27.08</v>
      </c>
    </row>
    <row r="36" spans="1:11">
      <c r="A36" s="181" t="s">
        <v>489</v>
      </c>
      <c r="B36" s="182" t="s">
        <v>497</v>
      </c>
      <c r="C36" s="197" t="s">
        <v>498</v>
      </c>
      <c r="D36" s="178" t="s">
        <v>492</v>
      </c>
      <c r="E36" s="109">
        <v>1</v>
      </c>
      <c r="F36" s="132">
        <v>263.54000000000002</v>
      </c>
      <c r="G36" s="132">
        <v>263.54000000000002</v>
      </c>
    </row>
    <row r="37" spans="1:11">
      <c r="A37" s="181"/>
      <c r="B37" s="182"/>
      <c r="C37" s="197"/>
      <c r="D37" s="178"/>
      <c r="E37" s="109"/>
      <c r="F37" s="132"/>
      <c r="G37" s="132"/>
    </row>
    <row r="38" spans="1:11" s="53" customFormat="1">
      <c r="A38" s="179" t="s">
        <v>204</v>
      </c>
      <c r="B38" s="180" t="s">
        <v>381</v>
      </c>
      <c r="C38" s="177" t="s">
        <v>382</v>
      </c>
      <c r="D38" s="176" t="s">
        <v>383</v>
      </c>
      <c r="E38" s="130"/>
      <c r="F38" s="205"/>
      <c r="G38" s="206">
        <v>19.07</v>
      </c>
    </row>
    <row r="39" spans="1:11" ht="24">
      <c r="A39" s="181" t="s">
        <v>193</v>
      </c>
      <c r="B39" s="182" t="s">
        <v>479</v>
      </c>
      <c r="C39" s="197" t="s">
        <v>480</v>
      </c>
      <c r="D39" s="178" t="s">
        <v>196</v>
      </c>
      <c r="E39" s="109">
        <v>0.37</v>
      </c>
      <c r="F39" s="132">
        <v>23.03</v>
      </c>
      <c r="G39" s="132">
        <v>8.52</v>
      </c>
    </row>
    <row r="40" spans="1:11">
      <c r="A40" s="181" t="s">
        <v>193</v>
      </c>
      <c r="B40" s="182" t="s">
        <v>481</v>
      </c>
      <c r="C40" s="197" t="s">
        <v>482</v>
      </c>
      <c r="D40" s="178" t="s">
        <v>196</v>
      </c>
      <c r="E40" s="109">
        <v>0.37</v>
      </c>
      <c r="F40" s="132">
        <v>28.54</v>
      </c>
      <c r="G40" s="132">
        <v>10.55</v>
      </c>
    </row>
    <row r="41" spans="1:11">
      <c r="A41" s="309"/>
      <c r="B41" s="310"/>
      <c r="C41" s="175"/>
      <c r="D41" s="174"/>
      <c r="E41" s="311"/>
      <c r="F41" s="312"/>
      <c r="G41" s="312"/>
    </row>
    <row r="42" spans="1:11" s="319" customFormat="1" ht="18">
      <c r="A42" s="313"/>
      <c r="B42" s="314"/>
      <c r="C42" s="315"/>
      <c r="D42" s="316"/>
      <c r="E42" s="317"/>
      <c r="F42" s="318"/>
      <c r="G42" s="318"/>
    </row>
    <row r="43" spans="1:11" s="319" customFormat="1" ht="18">
      <c r="A43" s="320"/>
      <c r="B43" s="320"/>
      <c r="C43" s="321"/>
      <c r="D43" s="322"/>
      <c r="E43" s="323"/>
      <c r="F43" s="324"/>
      <c r="G43" s="324"/>
      <c r="H43" s="324"/>
      <c r="J43" s="325"/>
      <c r="K43" s="326"/>
    </row>
    <row r="44" spans="1:11">
      <c r="B44" s="43"/>
      <c r="C44" s="141" t="s">
        <v>70</v>
      </c>
      <c r="D44" s="51"/>
      <c r="E44" s="64"/>
      <c r="F44" s="52"/>
      <c r="G44" s="52"/>
      <c r="H44" s="52"/>
      <c r="J44" s="57"/>
      <c r="K44" s="44"/>
    </row>
    <row r="45" spans="1:11">
      <c r="B45" s="43"/>
      <c r="C45" s="141" t="s">
        <v>71</v>
      </c>
      <c r="D45" s="51"/>
      <c r="E45" s="64"/>
      <c r="F45" s="52"/>
      <c r="G45" s="52"/>
      <c r="H45" s="52"/>
      <c r="K45" s="44"/>
    </row>
    <row r="46" spans="1:11">
      <c r="B46" s="43"/>
      <c r="C46" s="141" t="s">
        <v>72</v>
      </c>
      <c r="D46" s="51"/>
      <c r="E46" s="64"/>
      <c r="F46" s="52"/>
      <c r="G46" s="52"/>
      <c r="H46" s="52"/>
      <c r="K46" s="44"/>
    </row>
    <row r="49" spans="1:7">
      <c r="A49" s="43"/>
      <c r="B49" s="43"/>
      <c r="C49" s="43"/>
      <c r="D49" s="45"/>
      <c r="E49" s="47"/>
      <c r="F49" s="44"/>
      <c r="G49" s="207"/>
    </row>
    <row r="50" spans="1:7">
      <c r="A50" s="43"/>
      <c r="B50" s="43"/>
      <c r="C50" s="43"/>
      <c r="D50" s="45"/>
      <c r="E50" s="47"/>
      <c r="F50" s="44"/>
      <c r="G50" s="207"/>
    </row>
    <row r="51" spans="1:7">
      <c r="A51" s="43"/>
      <c r="B51" s="43"/>
      <c r="C51" s="43"/>
      <c r="D51" s="45"/>
      <c r="E51" s="47"/>
      <c r="F51" s="44"/>
      <c r="G51" s="207"/>
    </row>
    <row r="52" spans="1:7">
      <c r="A52" s="43"/>
      <c r="B52" s="43"/>
      <c r="C52" s="43"/>
      <c r="D52" s="45"/>
      <c r="E52" s="47"/>
      <c r="F52" s="44"/>
      <c r="G52" s="207"/>
    </row>
    <row r="53" spans="1:7">
      <c r="A53" s="43"/>
      <c r="B53" s="43"/>
      <c r="C53" s="43"/>
      <c r="D53" s="45"/>
      <c r="E53" s="47"/>
      <c r="F53" s="44"/>
      <c r="G53" s="207"/>
    </row>
  </sheetData>
  <autoFilter ref="A8:L40"/>
  <mergeCells count="10">
    <mergeCell ref="A1:G1"/>
    <mergeCell ref="A3:B3"/>
    <mergeCell ref="A4:B4"/>
    <mergeCell ref="A5:B5"/>
    <mergeCell ref="A7:A8"/>
    <mergeCell ref="B7:B8"/>
    <mergeCell ref="C7:C8"/>
    <mergeCell ref="D7:D8"/>
    <mergeCell ref="E7:E8"/>
    <mergeCell ref="F7:G7"/>
  </mergeCells>
  <pageMargins left="0.59055118110236227" right="0.59055118110236227" top="1.1811023622047245" bottom="0.59055118110236227" header="0.39370078740157483" footer="0.39370078740157483"/>
  <pageSetup paperSize="9" scale="85" fitToHeight="0" orientation="portrait" r:id="rId1"/>
  <headerFooter>
    <oddHeader>&amp;L&amp;G&amp;R&amp;A</oddHeader>
    <oddFooter>Página &amp;P de &amp;N</oddFooter>
  </headerFooter>
  <legacyDrawingHF r:id="rId2"/>
</worksheet>
</file>

<file path=xl/worksheets/sheet6.xml><?xml version="1.0" encoding="utf-8"?>
<worksheet xmlns="http://schemas.openxmlformats.org/spreadsheetml/2006/main" xmlns:r="http://schemas.openxmlformats.org/officeDocument/2006/relationships">
  <dimension ref="A1:L41"/>
  <sheetViews>
    <sheetView view="pageBreakPreview" zoomScaleSheetLayoutView="100" workbookViewId="0">
      <selection sqref="A1:B1"/>
    </sheetView>
  </sheetViews>
  <sheetFormatPr defaultColWidth="8.85546875" defaultRowHeight="12"/>
  <cols>
    <col min="1" max="1" width="11.28515625" style="47" customWidth="1"/>
    <col min="2" max="2" width="78.5703125" style="108" customWidth="1"/>
    <col min="3" max="16384" width="8.85546875" style="43"/>
  </cols>
  <sheetData>
    <row r="1" spans="1:2" s="38" customFormat="1" ht="15.75">
      <c r="A1" s="353" t="s">
        <v>69</v>
      </c>
      <c r="B1" s="353"/>
    </row>
    <row r="2" spans="1:2" s="38" customFormat="1">
      <c r="A2" s="46"/>
      <c r="B2" s="107"/>
    </row>
    <row r="3" spans="1:2" s="38" customFormat="1" ht="14.25">
      <c r="A3" s="159" t="s">
        <v>1</v>
      </c>
      <c r="B3" s="98" t="str">
        <f>'PLANILHA ORÇAMENTÁRIA'!C3</f>
        <v>DELFIM MOREIRA ISS 4%</v>
      </c>
    </row>
    <row r="4" spans="1:2" s="38" customFormat="1" ht="15">
      <c r="A4" s="159" t="s">
        <v>2</v>
      </c>
      <c r="B4" s="230" t="str">
        <f>'PLANILHA ORÇAMENTÁRIA'!C4</f>
        <v>REFORMA DA ESCOLA MUNICIPAL JOAQUIM PERES</v>
      </c>
    </row>
    <row r="5" spans="1:2" s="38" customFormat="1" ht="14.25">
      <c r="A5" s="159" t="s">
        <v>3</v>
      </c>
      <c r="B5" s="98" t="str">
        <f>'PLANILHA ORÇAMENTÁRIA'!C5</f>
        <v>AGOSTO DE 2024</v>
      </c>
    </row>
    <row r="6" spans="1:2" s="38" customFormat="1" ht="31.15" customHeight="1">
      <c r="A6" s="159"/>
      <c r="B6" s="331" t="str">
        <f>'PLANILHA ORÇAMENTÁRIA'!C6</f>
        <v>REVISÃO ZERO</v>
      </c>
    </row>
    <row r="7" spans="1:2" s="38" customFormat="1" ht="12.75" thickBot="1">
      <c r="A7" s="159"/>
      <c r="B7" s="208"/>
    </row>
    <row r="8" spans="1:2" ht="15" customHeight="1" thickBot="1">
      <c r="A8" s="365" t="s">
        <v>76</v>
      </c>
      <c r="B8" s="366"/>
    </row>
    <row r="9" spans="1:2" s="295" customFormat="1" ht="115.15" customHeight="1" thickBot="1">
      <c r="A9" s="293"/>
      <c r="B9" s="294" t="s">
        <v>499</v>
      </c>
    </row>
    <row r="10" spans="1:2" s="295" customFormat="1" ht="15" customHeight="1" thickBot="1">
      <c r="A10" s="363" t="s">
        <v>77</v>
      </c>
      <c r="B10" s="364"/>
    </row>
    <row r="11" spans="1:2" s="295" customFormat="1" ht="210.75" customHeight="1" thickBot="1">
      <c r="A11" s="293"/>
      <c r="B11" s="294" t="s">
        <v>92</v>
      </c>
    </row>
    <row r="12" spans="1:2" s="295" customFormat="1" ht="12.75" thickBot="1">
      <c r="A12" s="296">
        <v>1</v>
      </c>
      <c r="B12" s="297" t="s">
        <v>49</v>
      </c>
    </row>
    <row r="13" spans="1:2" s="295" customFormat="1" ht="24.75" thickBot="1">
      <c r="A13" s="293"/>
      <c r="B13" s="294" t="s">
        <v>171</v>
      </c>
    </row>
    <row r="14" spans="1:2" s="300" customFormat="1" ht="12.75" thickBot="1">
      <c r="A14" s="298">
        <v>2</v>
      </c>
      <c r="B14" s="299" t="s">
        <v>86</v>
      </c>
    </row>
    <row r="15" spans="1:2" s="300" customFormat="1" ht="24">
      <c r="A15" s="301"/>
      <c r="B15" s="302" t="s">
        <v>87</v>
      </c>
    </row>
    <row r="16" spans="1:2" s="55" customFormat="1" ht="12.75" thickBot="1">
      <c r="A16" s="298">
        <v>3</v>
      </c>
      <c r="B16" s="299" t="s">
        <v>88</v>
      </c>
    </row>
    <row r="17" spans="1:12" ht="108">
      <c r="A17" s="303"/>
      <c r="B17" s="302" t="s">
        <v>185</v>
      </c>
    </row>
    <row r="18" spans="1:12" s="55" customFormat="1" ht="12.75" thickBot="1">
      <c r="A18" s="298">
        <v>4</v>
      </c>
      <c r="B18" s="299" t="s">
        <v>89</v>
      </c>
    </row>
    <row r="19" spans="1:12" ht="48">
      <c r="A19" s="303"/>
      <c r="B19" s="302" t="s">
        <v>172</v>
      </c>
    </row>
    <row r="20" spans="1:12" s="55" customFormat="1" ht="12.75" thickBot="1">
      <c r="A20" s="298">
        <v>5</v>
      </c>
      <c r="B20" s="299" t="s">
        <v>173</v>
      </c>
    </row>
    <row r="21" spans="1:12" ht="60">
      <c r="A21" s="303"/>
      <c r="B21" s="302" t="s">
        <v>186</v>
      </c>
    </row>
    <row r="22" spans="1:12" s="55" customFormat="1" ht="12.75" thickBot="1">
      <c r="A22" s="298">
        <v>6</v>
      </c>
      <c r="B22" s="299" t="s">
        <v>174</v>
      </c>
    </row>
    <row r="23" spans="1:12" ht="36">
      <c r="A23" s="303"/>
      <c r="B23" s="302" t="s">
        <v>175</v>
      </c>
    </row>
    <row r="24" spans="1:12" s="55" customFormat="1" ht="12.75" thickBot="1">
      <c r="A24" s="298">
        <v>7</v>
      </c>
      <c r="B24" s="299" t="s">
        <v>176</v>
      </c>
    </row>
    <row r="25" spans="1:12" ht="23.25" thickBot="1">
      <c r="A25" s="304"/>
      <c r="B25" s="305" t="s">
        <v>177</v>
      </c>
      <c r="C25" s="45"/>
      <c r="D25" s="51"/>
      <c r="E25" s="58"/>
      <c r="F25" s="52"/>
      <c r="G25" s="52"/>
      <c r="H25" s="52"/>
      <c r="I25" s="52"/>
      <c r="K25" s="57"/>
      <c r="L25" s="44"/>
    </row>
    <row r="26" spans="1:12" ht="12.75" thickBot="1">
      <c r="A26" s="298">
        <v>8</v>
      </c>
      <c r="B26" s="299" t="s">
        <v>90</v>
      </c>
      <c r="C26" s="45"/>
      <c r="D26" s="51"/>
      <c r="E26" s="58"/>
      <c r="F26" s="52"/>
      <c r="G26" s="52"/>
      <c r="H26" s="52"/>
      <c r="I26" s="52"/>
      <c r="K26" s="57"/>
      <c r="L26" s="44"/>
    </row>
    <row r="27" spans="1:12" ht="79.5" thickBot="1">
      <c r="A27" s="304"/>
      <c r="B27" s="305" t="s">
        <v>178</v>
      </c>
      <c r="C27" s="45"/>
      <c r="D27" s="51"/>
      <c r="E27" s="58"/>
      <c r="F27" s="52"/>
      <c r="G27" s="52"/>
      <c r="H27" s="52"/>
      <c r="I27" s="52"/>
      <c r="K27" s="57"/>
      <c r="L27" s="44"/>
    </row>
    <row r="28" spans="1:12" ht="12.75" thickBot="1">
      <c r="A28" s="298">
        <v>9</v>
      </c>
      <c r="B28" s="299" t="s">
        <v>179</v>
      </c>
      <c r="C28" s="45"/>
      <c r="D28" s="51"/>
      <c r="E28" s="58"/>
      <c r="F28" s="52"/>
      <c r="G28" s="52"/>
      <c r="H28" s="52"/>
      <c r="I28" s="52"/>
      <c r="K28" s="57"/>
      <c r="L28" s="44"/>
    </row>
    <row r="29" spans="1:12" ht="57" thickBot="1">
      <c r="A29" s="304"/>
      <c r="B29" s="305" t="s">
        <v>187</v>
      </c>
      <c r="C29" s="45"/>
      <c r="D29" s="51"/>
      <c r="E29" s="58"/>
      <c r="F29" s="52"/>
      <c r="G29" s="52"/>
      <c r="H29" s="52"/>
      <c r="I29" s="52"/>
      <c r="K29" s="57"/>
      <c r="L29" s="44"/>
    </row>
    <row r="30" spans="1:12" ht="12.75" thickBot="1">
      <c r="A30" s="298">
        <v>10</v>
      </c>
      <c r="B30" s="299" t="s">
        <v>91</v>
      </c>
      <c r="C30" s="45"/>
      <c r="D30" s="51"/>
      <c r="E30" s="58"/>
      <c r="F30" s="52"/>
      <c r="G30" s="52"/>
      <c r="H30" s="52"/>
      <c r="I30" s="52"/>
      <c r="K30" s="57"/>
      <c r="L30" s="44"/>
    </row>
    <row r="31" spans="1:12" ht="102" thickBot="1">
      <c r="A31" s="304"/>
      <c r="B31" s="305" t="s">
        <v>188</v>
      </c>
      <c r="C31" s="45"/>
      <c r="D31" s="51"/>
      <c r="E31" s="58"/>
      <c r="F31" s="52"/>
      <c r="G31" s="52"/>
      <c r="H31" s="52"/>
      <c r="I31" s="52"/>
      <c r="K31" s="57"/>
      <c r="L31" s="44"/>
    </row>
    <row r="32" spans="1:12" ht="12.75" thickBot="1">
      <c r="A32" s="298">
        <v>11</v>
      </c>
      <c r="B32" s="299" t="s">
        <v>180</v>
      </c>
      <c r="C32" s="45"/>
      <c r="D32" s="51"/>
      <c r="E32" s="58"/>
      <c r="F32" s="52"/>
      <c r="G32" s="52"/>
      <c r="H32" s="52"/>
      <c r="I32" s="52"/>
      <c r="K32" s="57"/>
      <c r="L32" s="44"/>
    </row>
    <row r="33" spans="1:12" ht="124.5" thickBot="1">
      <c r="A33" s="304"/>
      <c r="B33" s="305" t="s">
        <v>189</v>
      </c>
      <c r="C33" s="45"/>
      <c r="D33" s="51"/>
      <c r="E33" s="58"/>
      <c r="F33" s="52"/>
      <c r="G33" s="52"/>
      <c r="H33" s="52"/>
      <c r="I33" s="52"/>
      <c r="K33" s="57"/>
      <c r="L33" s="44"/>
    </row>
    <row r="34" spans="1:12" ht="12.75" thickBot="1">
      <c r="A34" s="298">
        <v>12</v>
      </c>
      <c r="B34" s="299" t="s">
        <v>181</v>
      </c>
      <c r="C34" s="45"/>
      <c r="D34" s="51"/>
      <c r="E34" s="58"/>
      <c r="F34" s="52"/>
      <c r="G34" s="52"/>
      <c r="H34" s="52"/>
      <c r="I34" s="52"/>
      <c r="K34" s="57"/>
      <c r="L34" s="44"/>
    </row>
    <row r="35" spans="1:12" ht="68.25" thickBot="1">
      <c r="A35" s="304"/>
      <c r="B35" s="305" t="s">
        <v>182</v>
      </c>
      <c r="D35" s="51"/>
      <c r="E35" s="58"/>
      <c r="F35" s="52"/>
      <c r="G35" s="59"/>
      <c r="H35" s="52"/>
      <c r="I35" s="52"/>
      <c r="K35" s="57"/>
      <c r="L35" s="44"/>
    </row>
    <row r="36" spans="1:12" ht="12.75" thickBot="1">
      <c r="A36" s="298">
        <v>13</v>
      </c>
      <c r="B36" s="299" t="s">
        <v>183</v>
      </c>
      <c r="D36" s="51"/>
      <c r="E36" s="58"/>
      <c r="F36" s="52"/>
      <c r="G36" s="59"/>
      <c r="H36" s="52"/>
      <c r="I36" s="52"/>
      <c r="K36" s="57"/>
      <c r="L36" s="44"/>
    </row>
    <row r="37" spans="1:12" ht="12.75" thickBot="1">
      <c r="A37" s="304"/>
      <c r="B37" s="305" t="s">
        <v>184</v>
      </c>
      <c r="D37" s="51"/>
      <c r="E37" s="58"/>
      <c r="F37" s="52"/>
      <c r="G37" s="59"/>
      <c r="H37" s="52"/>
      <c r="I37" s="52"/>
      <c r="K37" s="57"/>
      <c r="L37" s="44"/>
    </row>
    <row r="38" spans="1:12" ht="71.45" customHeight="1">
      <c r="A38" s="306"/>
      <c r="B38" s="307"/>
      <c r="D38" s="51"/>
      <c r="E38" s="58"/>
      <c r="F38" s="52"/>
      <c r="G38" s="59"/>
      <c r="H38" s="52"/>
      <c r="I38" s="52"/>
      <c r="K38" s="57"/>
      <c r="L38" s="44"/>
    </row>
    <row r="39" spans="1:12">
      <c r="B39" s="162" t="s">
        <v>70</v>
      </c>
      <c r="D39" s="51"/>
      <c r="E39" s="58"/>
      <c r="F39" s="52"/>
      <c r="G39" s="52"/>
      <c r="H39" s="52"/>
      <c r="I39" s="52"/>
      <c r="L39" s="44"/>
    </row>
    <row r="40" spans="1:12">
      <c r="B40" s="162" t="s">
        <v>71</v>
      </c>
      <c r="D40" s="51"/>
      <c r="E40" s="58"/>
      <c r="F40" s="52"/>
      <c r="G40" s="52"/>
      <c r="H40" s="52"/>
      <c r="I40" s="52"/>
      <c r="L40" s="44"/>
    </row>
    <row r="41" spans="1:12">
      <c r="B41" s="162" t="s">
        <v>72</v>
      </c>
    </row>
  </sheetData>
  <mergeCells count="3">
    <mergeCell ref="A1:B1"/>
    <mergeCell ref="A10:B10"/>
    <mergeCell ref="A8:B8"/>
  </mergeCells>
  <pageMargins left="0.59055118110236227" right="0.59055118110236227" top="1.1811023622047245" bottom="0.59055118110236227" header="0.39370078740157483" footer="0.39370078740157483"/>
  <pageSetup paperSize="9" fitToHeight="0" orientation="portrait" r:id="rId1"/>
  <headerFooter>
    <oddHeader>&amp;L&amp;G&amp;R&amp;A</oddHeader>
    <oddFooter>Página &amp;P de &amp;N</oddFooter>
  </headerFooter>
  <rowBreaks count="1" manualBreakCount="1">
    <brk id="35" max="1" man="1"/>
  </rowBreaks>
  <legacyDrawingHF r:id="rId2"/>
</worksheet>
</file>

<file path=xl/worksheets/sheet7.xml><?xml version="1.0" encoding="utf-8"?>
<worksheet xmlns="http://schemas.openxmlformats.org/spreadsheetml/2006/main" xmlns:r="http://schemas.openxmlformats.org/officeDocument/2006/relationships">
  <dimension ref="A1:AP82"/>
  <sheetViews>
    <sheetView view="pageBreakPreview" zoomScale="90" zoomScaleSheetLayoutView="90" workbookViewId="0">
      <selection sqref="A1:U1"/>
    </sheetView>
  </sheetViews>
  <sheetFormatPr defaultColWidth="7.5703125" defaultRowHeight="12.75"/>
  <cols>
    <col min="1" max="1" width="6.85546875" style="286" bestFit="1" customWidth="1"/>
    <col min="2" max="2" width="10.140625" style="289" bestFit="1" customWidth="1"/>
    <col min="3" max="3" width="6.7109375" style="287" customWidth="1"/>
    <col min="4" max="4" width="6.5703125" style="287" bestFit="1" customWidth="1"/>
    <col min="5" max="6" width="5.5703125" style="287" bestFit="1" customWidth="1"/>
    <col min="7" max="14" width="7.5703125" style="287" bestFit="1" customWidth="1"/>
    <col min="15" max="15" width="5.5703125" style="287" bestFit="1" customWidth="1"/>
    <col min="16" max="17" width="7.5703125" style="287" bestFit="1" customWidth="1"/>
    <col min="18" max="18" width="5.5703125" style="287" bestFit="1" customWidth="1"/>
    <col min="19" max="19" width="6.5703125" style="287" bestFit="1" customWidth="1"/>
    <col min="20" max="20" width="5.5703125" style="287" bestFit="1" customWidth="1"/>
    <col min="21" max="21" width="6.5703125" style="287" bestFit="1" customWidth="1"/>
    <col min="22" max="22" width="38.7109375" style="284" customWidth="1"/>
    <col min="23" max="23" width="6.5703125" style="288" bestFit="1" customWidth="1"/>
    <col min="24" max="24" width="3.42578125" style="285" bestFit="1" customWidth="1"/>
    <col min="25" max="25" width="15.5703125" style="285" customWidth="1"/>
    <col min="26" max="26" width="8.7109375" style="287" bestFit="1" customWidth="1"/>
    <col min="27" max="27" width="7" style="287" bestFit="1" customWidth="1"/>
    <col min="28" max="28" width="7.7109375" style="287" bestFit="1" customWidth="1"/>
    <col min="29" max="29" width="6.85546875" style="287" bestFit="1" customWidth="1"/>
    <col min="30" max="30" width="9.7109375" style="270" bestFit="1" customWidth="1"/>
    <col min="31" max="256" width="7.5703125" style="270"/>
    <col min="257" max="257" width="7.5703125" style="270" customWidth="1"/>
    <col min="258" max="258" width="10.140625" style="270" bestFit="1" customWidth="1"/>
    <col min="259" max="277" width="7" style="270" customWidth="1"/>
    <col min="278" max="278" width="28.7109375" style="270" customWidth="1"/>
    <col min="279" max="279" width="7.5703125" style="270" customWidth="1"/>
    <col min="280" max="285" width="7.5703125" style="270"/>
    <col min="286" max="286" width="12.140625" style="270" bestFit="1" customWidth="1"/>
    <col min="287" max="512" width="7.5703125" style="270"/>
    <col min="513" max="513" width="7.5703125" style="270" customWidth="1"/>
    <col min="514" max="514" width="10.140625" style="270" bestFit="1" customWidth="1"/>
    <col min="515" max="533" width="7" style="270" customWidth="1"/>
    <col min="534" max="534" width="28.7109375" style="270" customWidth="1"/>
    <col min="535" max="535" width="7.5703125" style="270" customWidth="1"/>
    <col min="536" max="541" width="7.5703125" style="270"/>
    <col min="542" max="542" width="12.140625" style="270" bestFit="1" customWidth="1"/>
    <col min="543" max="768" width="7.5703125" style="270"/>
    <col min="769" max="769" width="7.5703125" style="270" customWidth="1"/>
    <col min="770" max="770" width="10.140625" style="270" bestFit="1" customWidth="1"/>
    <col min="771" max="789" width="7" style="270" customWidth="1"/>
    <col min="790" max="790" width="28.7109375" style="270" customWidth="1"/>
    <col min="791" max="791" width="7.5703125" style="270" customWidth="1"/>
    <col min="792" max="797" width="7.5703125" style="270"/>
    <col min="798" max="798" width="12.140625" style="270" bestFit="1" customWidth="1"/>
    <col min="799" max="1024" width="7.5703125" style="270"/>
    <col min="1025" max="1025" width="7.5703125" style="270" customWidth="1"/>
    <col min="1026" max="1026" width="10.140625" style="270" bestFit="1" customWidth="1"/>
    <col min="1027" max="1045" width="7" style="270" customWidth="1"/>
    <col min="1046" max="1046" width="28.7109375" style="270" customWidth="1"/>
    <col min="1047" max="1047" width="7.5703125" style="270" customWidth="1"/>
    <col min="1048" max="1053" width="7.5703125" style="270"/>
    <col min="1054" max="1054" width="12.140625" style="270" bestFit="1" customWidth="1"/>
    <col min="1055" max="1280" width="7.5703125" style="270"/>
    <col min="1281" max="1281" width="7.5703125" style="270" customWidth="1"/>
    <col min="1282" max="1282" width="10.140625" style="270" bestFit="1" customWidth="1"/>
    <col min="1283" max="1301" width="7" style="270" customWidth="1"/>
    <col min="1302" max="1302" width="28.7109375" style="270" customWidth="1"/>
    <col min="1303" max="1303" width="7.5703125" style="270" customWidth="1"/>
    <col min="1304" max="1309" width="7.5703125" style="270"/>
    <col min="1310" max="1310" width="12.140625" style="270" bestFit="1" customWidth="1"/>
    <col min="1311" max="1536" width="7.5703125" style="270"/>
    <col min="1537" max="1537" width="7.5703125" style="270" customWidth="1"/>
    <col min="1538" max="1538" width="10.140625" style="270" bestFit="1" customWidth="1"/>
    <col min="1539" max="1557" width="7" style="270" customWidth="1"/>
    <col min="1558" max="1558" width="28.7109375" style="270" customWidth="1"/>
    <col min="1559" max="1559" width="7.5703125" style="270" customWidth="1"/>
    <col min="1560" max="1565" width="7.5703125" style="270"/>
    <col min="1566" max="1566" width="12.140625" style="270" bestFit="1" customWidth="1"/>
    <col min="1567" max="1792" width="7.5703125" style="270"/>
    <col min="1793" max="1793" width="7.5703125" style="270" customWidth="1"/>
    <col min="1794" max="1794" width="10.140625" style="270" bestFit="1" customWidth="1"/>
    <col min="1795" max="1813" width="7" style="270" customWidth="1"/>
    <col min="1814" max="1814" width="28.7109375" style="270" customWidth="1"/>
    <col min="1815" max="1815" width="7.5703125" style="270" customWidth="1"/>
    <col min="1816" max="1821" width="7.5703125" style="270"/>
    <col min="1822" max="1822" width="12.140625" style="270" bestFit="1" customWidth="1"/>
    <col min="1823" max="2048" width="7.5703125" style="270"/>
    <col min="2049" max="2049" width="7.5703125" style="270" customWidth="1"/>
    <col min="2050" max="2050" width="10.140625" style="270" bestFit="1" customWidth="1"/>
    <col min="2051" max="2069" width="7" style="270" customWidth="1"/>
    <col min="2070" max="2070" width="28.7109375" style="270" customWidth="1"/>
    <col min="2071" max="2071" width="7.5703125" style="270" customWidth="1"/>
    <col min="2072" max="2077" width="7.5703125" style="270"/>
    <col min="2078" max="2078" width="12.140625" style="270" bestFit="1" customWidth="1"/>
    <col min="2079" max="2304" width="7.5703125" style="270"/>
    <col min="2305" max="2305" width="7.5703125" style="270" customWidth="1"/>
    <col min="2306" max="2306" width="10.140625" style="270" bestFit="1" customWidth="1"/>
    <col min="2307" max="2325" width="7" style="270" customWidth="1"/>
    <col min="2326" max="2326" width="28.7109375" style="270" customWidth="1"/>
    <col min="2327" max="2327" width="7.5703125" style="270" customWidth="1"/>
    <col min="2328" max="2333" width="7.5703125" style="270"/>
    <col min="2334" max="2334" width="12.140625" style="270" bestFit="1" customWidth="1"/>
    <col min="2335" max="2560" width="7.5703125" style="270"/>
    <col min="2561" max="2561" width="7.5703125" style="270" customWidth="1"/>
    <col min="2562" max="2562" width="10.140625" style="270" bestFit="1" customWidth="1"/>
    <col min="2563" max="2581" width="7" style="270" customWidth="1"/>
    <col min="2582" max="2582" width="28.7109375" style="270" customWidth="1"/>
    <col min="2583" max="2583" width="7.5703125" style="270" customWidth="1"/>
    <col min="2584" max="2589" width="7.5703125" style="270"/>
    <col min="2590" max="2590" width="12.140625" style="270" bestFit="1" customWidth="1"/>
    <col min="2591" max="2816" width="7.5703125" style="270"/>
    <col min="2817" max="2817" width="7.5703125" style="270" customWidth="1"/>
    <col min="2818" max="2818" width="10.140625" style="270" bestFit="1" customWidth="1"/>
    <col min="2819" max="2837" width="7" style="270" customWidth="1"/>
    <col min="2838" max="2838" width="28.7109375" style="270" customWidth="1"/>
    <col min="2839" max="2839" width="7.5703125" style="270" customWidth="1"/>
    <col min="2840" max="2845" width="7.5703125" style="270"/>
    <col min="2846" max="2846" width="12.140625" style="270" bestFit="1" customWidth="1"/>
    <col min="2847" max="3072" width="7.5703125" style="270"/>
    <col min="3073" max="3073" width="7.5703125" style="270" customWidth="1"/>
    <col min="3074" max="3074" width="10.140625" style="270" bestFit="1" customWidth="1"/>
    <col min="3075" max="3093" width="7" style="270" customWidth="1"/>
    <col min="3094" max="3094" width="28.7109375" style="270" customWidth="1"/>
    <col min="3095" max="3095" width="7.5703125" style="270" customWidth="1"/>
    <col min="3096" max="3101" width="7.5703125" style="270"/>
    <col min="3102" max="3102" width="12.140625" style="270" bestFit="1" customWidth="1"/>
    <col min="3103" max="3328" width="7.5703125" style="270"/>
    <col min="3329" max="3329" width="7.5703125" style="270" customWidth="1"/>
    <col min="3330" max="3330" width="10.140625" style="270" bestFit="1" customWidth="1"/>
    <col min="3331" max="3349" width="7" style="270" customWidth="1"/>
    <col min="3350" max="3350" width="28.7109375" style="270" customWidth="1"/>
    <col min="3351" max="3351" width="7.5703125" style="270" customWidth="1"/>
    <col min="3352" max="3357" width="7.5703125" style="270"/>
    <col min="3358" max="3358" width="12.140625" style="270" bestFit="1" customWidth="1"/>
    <col min="3359" max="3584" width="7.5703125" style="270"/>
    <col min="3585" max="3585" width="7.5703125" style="270" customWidth="1"/>
    <col min="3586" max="3586" width="10.140625" style="270" bestFit="1" customWidth="1"/>
    <col min="3587" max="3605" width="7" style="270" customWidth="1"/>
    <col min="3606" max="3606" width="28.7109375" style="270" customWidth="1"/>
    <col min="3607" max="3607" width="7.5703125" style="270" customWidth="1"/>
    <col min="3608" max="3613" width="7.5703125" style="270"/>
    <col min="3614" max="3614" width="12.140625" style="270" bestFit="1" customWidth="1"/>
    <col min="3615" max="3840" width="7.5703125" style="270"/>
    <col min="3841" max="3841" width="7.5703125" style="270" customWidth="1"/>
    <col min="3842" max="3842" width="10.140625" style="270" bestFit="1" customWidth="1"/>
    <col min="3843" max="3861" width="7" style="270" customWidth="1"/>
    <col min="3862" max="3862" width="28.7109375" style="270" customWidth="1"/>
    <col min="3863" max="3863" width="7.5703125" style="270" customWidth="1"/>
    <col min="3864" max="3869" width="7.5703125" style="270"/>
    <col min="3870" max="3870" width="12.140625" style="270" bestFit="1" customWidth="1"/>
    <col min="3871" max="4096" width="7.5703125" style="270"/>
    <col min="4097" max="4097" width="7.5703125" style="270" customWidth="1"/>
    <col min="4098" max="4098" width="10.140625" style="270" bestFit="1" customWidth="1"/>
    <col min="4099" max="4117" width="7" style="270" customWidth="1"/>
    <col min="4118" max="4118" width="28.7109375" style="270" customWidth="1"/>
    <col min="4119" max="4119" width="7.5703125" style="270" customWidth="1"/>
    <col min="4120" max="4125" width="7.5703125" style="270"/>
    <col min="4126" max="4126" width="12.140625" style="270" bestFit="1" customWidth="1"/>
    <col min="4127" max="4352" width="7.5703125" style="270"/>
    <col min="4353" max="4353" width="7.5703125" style="270" customWidth="1"/>
    <col min="4354" max="4354" width="10.140625" style="270" bestFit="1" customWidth="1"/>
    <col min="4355" max="4373" width="7" style="270" customWidth="1"/>
    <col min="4374" max="4374" width="28.7109375" style="270" customWidth="1"/>
    <col min="4375" max="4375" width="7.5703125" style="270" customWidth="1"/>
    <col min="4376" max="4381" width="7.5703125" style="270"/>
    <col min="4382" max="4382" width="12.140625" style="270" bestFit="1" customWidth="1"/>
    <col min="4383" max="4608" width="7.5703125" style="270"/>
    <col min="4609" max="4609" width="7.5703125" style="270" customWidth="1"/>
    <col min="4610" max="4610" width="10.140625" style="270" bestFit="1" customWidth="1"/>
    <col min="4611" max="4629" width="7" style="270" customWidth="1"/>
    <col min="4630" max="4630" width="28.7109375" style="270" customWidth="1"/>
    <col min="4631" max="4631" width="7.5703125" style="270" customWidth="1"/>
    <col min="4632" max="4637" width="7.5703125" style="270"/>
    <col min="4638" max="4638" width="12.140625" style="270" bestFit="1" customWidth="1"/>
    <col min="4639" max="4864" width="7.5703125" style="270"/>
    <col min="4865" max="4865" width="7.5703125" style="270" customWidth="1"/>
    <col min="4866" max="4866" width="10.140625" style="270" bestFit="1" customWidth="1"/>
    <col min="4867" max="4885" width="7" style="270" customWidth="1"/>
    <col min="4886" max="4886" width="28.7109375" style="270" customWidth="1"/>
    <col min="4887" max="4887" width="7.5703125" style="270" customWidth="1"/>
    <col min="4888" max="4893" width="7.5703125" style="270"/>
    <col min="4894" max="4894" width="12.140625" style="270" bestFit="1" customWidth="1"/>
    <col min="4895" max="5120" width="7.5703125" style="270"/>
    <col min="5121" max="5121" width="7.5703125" style="270" customWidth="1"/>
    <col min="5122" max="5122" width="10.140625" style="270" bestFit="1" customWidth="1"/>
    <col min="5123" max="5141" width="7" style="270" customWidth="1"/>
    <col min="5142" max="5142" width="28.7109375" style="270" customWidth="1"/>
    <col min="5143" max="5143" width="7.5703125" style="270" customWidth="1"/>
    <col min="5144" max="5149" width="7.5703125" style="270"/>
    <col min="5150" max="5150" width="12.140625" style="270" bestFit="1" customWidth="1"/>
    <col min="5151" max="5376" width="7.5703125" style="270"/>
    <col min="5377" max="5377" width="7.5703125" style="270" customWidth="1"/>
    <col min="5378" max="5378" width="10.140625" style="270" bestFit="1" customWidth="1"/>
    <col min="5379" max="5397" width="7" style="270" customWidth="1"/>
    <col min="5398" max="5398" width="28.7109375" style="270" customWidth="1"/>
    <col min="5399" max="5399" width="7.5703125" style="270" customWidth="1"/>
    <col min="5400" max="5405" width="7.5703125" style="270"/>
    <col min="5406" max="5406" width="12.140625" style="270" bestFit="1" customWidth="1"/>
    <col min="5407" max="5632" width="7.5703125" style="270"/>
    <col min="5633" max="5633" width="7.5703125" style="270" customWidth="1"/>
    <col min="5634" max="5634" width="10.140625" style="270" bestFit="1" customWidth="1"/>
    <col min="5635" max="5653" width="7" style="270" customWidth="1"/>
    <col min="5654" max="5654" width="28.7109375" style="270" customWidth="1"/>
    <col min="5655" max="5655" width="7.5703125" style="270" customWidth="1"/>
    <col min="5656" max="5661" width="7.5703125" style="270"/>
    <col min="5662" max="5662" width="12.140625" style="270" bestFit="1" customWidth="1"/>
    <col min="5663" max="5888" width="7.5703125" style="270"/>
    <col min="5889" max="5889" width="7.5703125" style="270" customWidth="1"/>
    <col min="5890" max="5890" width="10.140625" style="270" bestFit="1" customWidth="1"/>
    <col min="5891" max="5909" width="7" style="270" customWidth="1"/>
    <col min="5910" max="5910" width="28.7109375" style="270" customWidth="1"/>
    <col min="5911" max="5911" width="7.5703125" style="270" customWidth="1"/>
    <col min="5912" max="5917" width="7.5703125" style="270"/>
    <col min="5918" max="5918" width="12.140625" style="270" bestFit="1" customWidth="1"/>
    <col min="5919" max="6144" width="7.5703125" style="270"/>
    <col min="6145" max="6145" width="7.5703125" style="270" customWidth="1"/>
    <col min="6146" max="6146" width="10.140625" style="270" bestFit="1" customWidth="1"/>
    <col min="6147" max="6165" width="7" style="270" customWidth="1"/>
    <col min="6166" max="6166" width="28.7109375" style="270" customWidth="1"/>
    <col min="6167" max="6167" width="7.5703125" style="270" customWidth="1"/>
    <col min="6168" max="6173" width="7.5703125" style="270"/>
    <col min="6174" max="6174" width="12.140625" style="270" bestFit="1" customWidth="1"/>
    <col min="6175" max="6400" width="7.5703125" style="270"/>
    <col min="6401" max="6401" width="7.5703125" style="270" customWidth="1"/>
    <col min="6402" max="6402" width="10.140625" style="270" bestFit="1" customWidth="1"/>
    <col min="6403" max="6421" width="7" style="270" customWidth="1"/>
    <col min="6422" max="6422" width="28.7109375" style="270" customWidth="1"/>
    <col min="6423" max="6423" width="7.5703125" style="270" customWidth="1"/>
    <col min="6424" max="6429" width="7.5703125" style="270"/>
    <col min="6430" max="6430" width="12.140625" style="270" bestFit="1" customWidth="1"/>
    <col min="6431" max="6656" width="7.5703125" style="270"/>
    <col min="6657" max="6657" width="7.5703125" style="270" customWidth="1"/>
    <col min="6658" max="6658" width="10.140625" style="270" bestFit="1" customWidth="1"/>
    <col min="6659" max="6677" width="7" style="270" customWidth="1"/>
    <col min="6678" max="6678" width="28.7109375" style="270" customWidth="1"/>
    <col min="6679" max="6679" width="7.5703125" style="270" customWidth="1"/>
    <col min="6680" max="6685" width="7.5703125" style="270"/>
    <col min="6686" max="6686" width="12.140625" style="270" bestFit="1" customWidth="1"/>
    <col min="6687" max="6912" width="7.5703125" style="270"/>
    <col min="6913" max="6913" width="7.5703125" style="270" customWidth="1"/>
    <col min="6914" max="6914" width="10.140625" style="270" bestFit="1" customWidth="1"/>
    <col min="6915" max="6933" width="7" style="270" customWidth="1"/>
    <col min="6934" max="6934" width="28.7109375" style="270" customWidth="1"/>
    <col min="6935" max="6935" width="7.5703125" style="270" customWidth="1"/>
    <col min="6936" max="6941" width="7.5703125" style="270"/>
    <col min="6942" max="6942" width="12.140625" style="270" bestFit="1" customWidth="1"/>
    <col min="6943" max="7168" width="7.5703125" style="270"/>
    <col min="7169" max="7169" width="7.5703125" style="270" customWidth="1"/>
    <col min="7170" max="7170" width="10.140625" style="270" bestFit="1" customWidth="1"/>
    <col min="7171" max="7189" width="7" style="270" customWidth="1"/>
    <col min="7190" max="7190" width="28.7109375" style="270" customWidth="1"/>
    <col min="7191" max="7191" width="7.5703125" style="270" customWidth="1"/>
    <col min="7192" max="7197" width="7.5703125" style="270"/>
    <col min="7198" max="7198" width="12.140625" style="270" bestFit="1" customWidth="1"/>
    <col min="7199" max="7424" width="7.5703125" style="270"/>
    <col min="7425" max="7425" width="7.5703125" style="270" customWidth="1"/>
    <col min="7426" max="7426" width="10.140625" style="270" bestFit="1" customWidth="1"/>
    <col min="7427" max="7445" width="7" style="270" customWidth="1"/>
    <col min="7446" max="7446" width="28.7109375" style="270" customWidth="1"/>
    <col min="7447" max="7447" width="7.5703125" style="270" customWidth="1"/>
    <col min="7448" max="7453" width="7.5703125" style="270"/>
    <col min="7454" max="7454" width="12.140625" style="270" bestFit="1" customWidth="1"/>
    <col min="7455" max="7680" width="7.5703125" style="270"/>
    <col min="7681" max="7681" width="7.5703125" style="270" customWidth="1"/>
    <col min="7682" max="7682" width="10.140625" style="270" bestFit="1" customWidth="1"/>
    <col min="7683" max="7701" width="7" style="270" customWidth="1"/>
    <col min="7702" max="7702" width="28.7109375" style="270" customWidth="1"/>
    <col min="7703" max="7703" width="7.5703125" style="270" customWidth="1"/>
    <col min="7704" max="7709" width="7.5703125" style="270"/>
    <col min="7710" max="7710" width="12.140625" style="270" bestFit="1" customWidth="1"/>
    <col min="7711" max="7936" width="7.5703125" style="270"/>
    <col min="7937" max="7937" width="7.5703125" style="270" customWidth="1"/>
    <col min="7938" max="7938" width="10.140625" style="270" bestFit="1" customWidth="1"/>
    <col min="7939" max="7957" width="7" style="270" customWidth="1"/>
    <col min="7958" max="7958" width="28.7109375" style="270" customWidth="1"/>
    <col min="7959" max="7959" width="7.5703125" style="270" customWidth="1"/>
    <col min="7960" max="7965" width="7.5703125" style="270"/>
    <col min="7966" max="7966" width="12.140625" style="270" bestFit="1" customWidth="1"/>
    <col min="7967" max="8192" width="7.5703125" style="270"/>
    <col min="8193" max="8193" width="7.5703125" style="270" customWidth="1"/>
    <col min="8194" max="8194" width="10.140625" style="270" bestFit="1" customWidth="1"/>
    <col min="8195" max="8213" width="7" style="270" customWidth="1"/>
    <col min="8214" max="8214" width="28.7109375" style="270" customWidth="1"/>
    <col min="8215" max="8215" width="7.5703125" style="270" customWidth="1"/>
    <col min="8216" max="8221" width="7.5703125" style="270"/>
    <col min="8222" max="8222" width="12.140625" style="270" bestFit="1" customWidth="1"/>
    <col min="8223" max="8448" width="7.5703125" style="270"/>
    <col min="8449" max="8449" width="7.5703125" style="270" customWidth="1"/>
    <col min="8450" max="8450" width="10.140625" style="270" bestFit="1" customWidth="1"/>
    <col min="8451" max="8469" width="7" style="270" customWidth="1"/>
    <col min="8470" max="8470" width="28.7109375" style="270" customWidth="1"/>
    <col min="8471" max="8471" width="7.5703125" style="270" customWidth="1"/>
    <col min="8472" max="8477" width="7.5703125" style="270"/>
    <col min="8478" max="8478" width="12.140625" style="270" bestFit="1" customWidth="1"/>
    <col min="8479" max="8704" width="7.5703125" style="270"/>
    <col min="8705" max="8705" width="7.5703125" style="270" customWidth="1"/>
    <col min="8706" max="8706" width="10.140625" style="270" bestFit="1" customWidth="1"/>
    <col min="8707" max="8725" width="7" style="270" customWidth="1"/>
    <col min="8726" max="8726" width="28.7109375" style="270" customWidth="1"/>
    <col min="8727" max="8727" width="7.5703125" style="270" customWidth="1"/>
    <col min="8728" max="8733" width="7.5703125" style="270"/>
    <col min="8734" max="8734" width="12.140625" style="270" bestFit="1" customWidth="1"/>
    <col min="8735" max="8960" width="7.5703125" style="270"/>
    <col min="8961" max="8961" width="7.5703125" style="270" customWidth="1"/>
    <col min="8962" max="8962" width="10.140625" style="270" bestFit="1" customWidth="1"/>
    <col min="8963" max="8981" width="7" style="270" customWidth="1"/>
    <col min="8982" max="8982" width="28.7109375" style="270" customWidth="1"/>
    <col min="8983" max="8983" width="7.5703125" style="270" customWidth="1"/>
    <col min="8984" max="8989" width="7.5703125" style="270"/>
    <col min="8990" max="8990" width="12.140625" style="270" bestFit="1" customWidth="1"/>
    <col min="8991" max="9216" width="7.5703125" style="270"/>
    <col min="9217" max="9217" width="7.5703125" style="270" customWidth="1"/>
    <col min="9218" max="9218" width="10.140625" style="270" bestFit="1" customWidth="1"/>
    <col min="9219" max="9237" width="7" style="270" customWidth="1"/>
    <col min="9238" max="9238" width="28.7109375" style="270" customWidth="1"/>
    <col min="9239" max="9239" width="7.5703125" style="270" customWidth="1"/>
    <col min="9240" max="9245" width="7.5703125" style="270"/>
    <col min="9246" max="9246" width="12.140625" style="270" bestFit="1" customWidth="1"/>
    <col min="9247" max="9472" width="7.5703125" style="270"/>
    <col min="9473" max="9473" width="7.5703125" style="270" customWidth="1"/>
    <col min="9474" max="9474" width="10.140625" style="270" bestFit="1" customWidth="1"/>
    <col min="9475" max="9493" width="7" style="270" customWidth="1"/>
    <col min="9494" max="9494" width="28.7109375" style="270" customWidth="1"/>
    <col min="9495" max="9495" width="7.5703125" style="270" customWidth="1"/>
    <col min="9496" max="9501" width="7.5703125" style="270"/>
    <col min="9502" max="9502" width="12.140625" style="270" bestFit="1" customWidth="1"/>
    <col min="9503" max="9728" width="7.5703125" style="270"/>
    <col min="9729" max="9729" width="7.5703125" style="270" customWidth="1"/>
    <col min="9730" max="9730" width="10.140625" style="270" bestFit="1" customWidth="1"/>
    <col min="9731" max="9749" width="7" style="270" customWidth="1"/>
    <col min="9750" max="9750" width="28.7109375" style="270" customWidth="1"/>
    <col min="9751" max="9751" width="7.5703125" style="270" customWidth="1"/>
    <col min="9752" max="9757" width="7.5703125" style="270"/>
    <col min="9758" max="9758" width="12.140625" style="270" bestFit="1" customWidth="1"/>
    <col min="9759" max="9984" width="7.5703125" style="270"/>
    <col min="9985" max="9985" width="7.5703125" style="270" customWidth="1"/>
    <col min="9986" max="9986" width="10.140625" style="270" bestFit="1" customWidth="1"/>
    <col min="9987" max="10005" width="7" style="270" customWidth="1"/>
    <col min="10006" max="10006" width="28.7109375" style="270" customWidth="1"/>
    <col min="10007" max="10007" width="7.5703125" style="270" customWidth="1"/>
    <col min="10008" max="10013" width="7.5703125" style="270"/>
    <col min="10014" max="10014" width="12.140625" style="270" bestFit="1" customWidth="1"/>
    <col min="10015" max="10240" width="7.5703125" style="270"/>
    <col min="10241" max="10241" width="7.5703125" style="270" customWidth="1"/>
    <col min="10242" max="10242" width="10.140625" style="270" bestFit="1" customWidth="1"/>
    <col min="10243" max="10261" width="7" style="270" customWidth="1"/>
    <col min="10262" max="10262" width="28.7109375" style="270" customWidth="1"/>
    <col min="10263" max="10263" width="7.5703125" style="270" customWidth="1"/>
    <col min="10264" max="10269" width="7.5703125" style="270"/>
    <col min="10270" max="10270" width="12.140625" style="270" bestFit="1" customWidth="1"/>
    <col min="10271" max="10496" width="7.5703125" style="270"/>
    <col min="10497" max="10497" width="7.5703125" style="270" customWidth="1"/>
    <col min="10498" max="10498" width="10.140625" style="270" bestFit="1" customWidth="1"/>
    <col min="10499" max="10517" width="7" style="270" customWidth="1"/>
    <col min="10518" max="10518" width="28.7109375" style="270" customWidth="1"/>
    <col min="10519" max="10519" width="7.5703125" style="270" customWidth="1"/>
    <col min="10520" max="10525" width="7.5703125" style="270"/>
    <col min="10526" max="10526" width="12.140625" style="270" bestFit="1" customWidth="1"/>
    <col min="10527" max="10752" width="7.5703125" style="270"/>
    <col min="10753" max="10753" width="7.5703125" style="270" customWidth="1"/>
    <col min="10754" max="10754" width="10.140625" style="270" bestFit="1" customWidth="1"/>
    <col min="10755" max="10773" width="7" style="270" customWidth="1"/>
    <col min="10774" max="10774" width="28.7109375" style="270" customWidth="1"/>
    <col min="10775" max="10775" width="7.5703125" style="270" customWidth="1"/>
    <col min="10776" max="10781" width="7.5703125" style="270"/>
    <col min="10782" max="10782" width="12.140625" style="270" bestFit="1" customWidth="1"/>
    <col min="10783" max="11008" width="7.5703125" style="270"/>
    <col min="11009" max="11009" width="7.5703125" style="270" customWidth="1"/>
    <col min="11010" max="11010" width="10.140625" style="270" bestFit="1" customWidth="1"/>
    <col min="11011" max="11029" width="7" style="270" customWidth="1"/>
    <col min="11030" max="11030" width="28.7109375" style="270" customWidth="1"/>
    <col min="11031" max="11031" width="7.5703125" style="270" customWidth="1"/>
    <col min="11032" max="11037" width="7.5703125" style="270"/>
    <col min="11038" max="11038" width="12.140625" style="270" bestFit="1" customWidth="1"/>
    <col min="11039" max="11264" width="7.5703125" style="270"/>
    <col min="11265" max="11265" width="7.5703125" style="270" customWidth="1"/>
    <col min="11266" max="11266" width="10.140625" style="270" bestFit="1" customWidth="1"/>
    <col min="11267" max="11285" width="7" style="270" customWidth="1"/>
    <col min="11286" max="11286" width="28.7109375" style="270" customWidth="1"/>
    <col min="11287" max="11287" width="7.5703125" style="270" customWidth="1"/>
    <col min="11288" max="11293" width="7.5703125" style="270"/>
    <col min="11294" max="11294" width="12.140625" style="270" bestFit="1" customWidth="1"/>
    <col min="11295" max="11520" width="7.5703125" style="270"/>
    <col min="11521" max="11521" width="7.5703125" style="270" customWidth="1"/>
    <col min="11522" max="11522" width="10.140625" style="270" bestFit="1" customWidth="1"/>
    <col min="11523" max="11541" width="7" style="270" customWidth="1"/>
    <col min="11542" max="11542" width="28.7109375" style="270" customWidth="1"/>
    <col min="11543" max="11543" width="7.5703125" style="270" customWidth="1"/>
    <col min="11544" max="11549" width="7.5703125" style="270"/>
    <col min="11550" max="11550" width="12.140625" style="270" bestFit="1" customWidth="1"/>
    <col min="11551" max="11776" width="7.5703125" style="270"/>
    <col min="11777" max="11777" width="7.5703125" style="270" customWidth="1"/>
    <col min="11778" max="11778" width="10.140625" style="270" bestFit="1" customWidth="1"/>
    <col min="11779" max="11797" width="7" style="270" customWidth="1"/>
    <col min="11798" max="11798" width="28.7109375" style="270" customWidth="1"/>
    <col min="11799" max="11799" width="7.5703125" style="270" customWidth="1"/>
    <col min="11800" max="11805" width="7.5703125" style="270"/>
    <col min="11806" max="11806" width="12.140625" style="270" bestFit="1" customWidth="1"/>
    <col min="11807" max="12032" width="7.5703125" style="270"/>
    <col min="12033" max="12033" width="7.5703125" style="270" customWidth="1"/>
    <col min="12034" max="12034" width="10.140625" style="270" bestFit="1" customWidth="1"/>
    <col min="12035" max="12053" width="7" style="270" customWidth="1"/>
    <col min="12054" max="12054" width="28.7109375" style="270" customWidth="1"/>
    <col min="12055" max="12055" width="7.5703125" style="270" customWidth="1"/>
    <col min="12056" max="12061" width="7.5703125" style="270"/>
    <col min="12062" max="12062" width="12.140625" style="270" bestFit="1" customWidth="1"/>
    <col min="12063" max="12288" width="7.5703125" style="270"/>
    <col min="12289" max="12289" width="7.5703125" style="270" customWidth="1"/>
    <col min="12290" max="12290" width="10.140625" style="270" bestFit="1" customWidth="1"/>
    <col min="12291" max="12309" width="7" style="270" customWidth="1"/>
    <col min="12310" max="12310" width="28.7109375" style="270" customWidth="1"/>
    <col min="12311" max="12311" width="7.5703125" style="270" customWidth="1"/>
    <col min="12312" max="12317" width="7.5703125" style="270"/>
    <col min="12318" max="12318" width="12.140625" style="270" bestFit="1" customWidth="1"/>
    <col min="12319" max="12544" width="7.5703125" style="270"/>
    <col min="12545" max="12545" width="7.5703125" style="270" customWidth="1"/>
    <col min="12546" max="12546" width="10.140625" style="270" bestFit="1" customWidth="1"/>
    <col min="12547" max="12565" width="7" style="270" customWidth="1"/>
    <col min="12566" max="12566" width="28.7109375" style="270" customWidth="1"/>
    <col min="12567" max="12567" width="7.5703125" style="270" customWidth="1"/>
    <col min="12568" max="12573" width="7.5703125" style="270"/>
    <col min="12574" max="12574" width="12.140625" style="270" bestFit="1" customWidth="1"/>
    <col min="12575" max="12800" width="7.5703125" style="270"/>
    <col min="12801" max="12801" width="7.5703125" style="270" customWidth="1"/>
    <col min="12802" max="12802" width="10.140625" style="270" bestFit="1" customWidth="1"/>
    <col min="12803" max="12821" width="7" style="270" customWidth="1"/>
    <col min="12822" max="12822" width="28.7109375" style="270" customWidth="1"/>
    <col min="12823" max="12823" width="7.5703125" style="270" customWidth="1"/>
    <col min="12824" max="12829" width="7.5703125" style="270"/>
    <col min="12830" max="12830" width="12.140625" style="270" bestFit="1" customWidth="1"/>
    <col min="12831" max="13056" width="7.5703125" style="270"/>
    <col min="13057" max="13057" width="7.5703125" style="270" customWidth="1"/>
    <col min="13058" max="13058" width="10.140625" style="270" bestFit="1" customWidth="1"/>
    <col min="13059" max="13077" width="7" style="270" customWidth="1"/>
    <col min="13078" max="13078" width="28.7109375" style="270" customWidth="1"/>
    <col min="13079" max="13079" width="7.5703125" style="270" customWidth="1"/>
    <col min="13080" max="13085" width="7.5703125" style="270"/>
    <col min="13086" max="13086" width="12.140625" style="270" bestFit="1" customWidth="1"/>
    <col min="13087" max="13312" width="7.5703125" style="270"/>
    <col min="13313" max="13313" width="7.5703125" style="270" customWidth="1"/>
    <col min="13314" max="13314" width="10.140625" style="270" bestFit="1" customWidth="1"/>
    <col min="13315" max="13333" width="7" style="270" customWidth="1"/>
    <col min="13334" max="13334" width="28.7109375" style="270" customWidth="1"/>
    <col min="13335" max="13335" width="7.5703125" style="270" customWidth="1"/>
    <col min="13336" max="13341" width="7.5703125" style="270"/>
    <col min="13342" max="13342" width="12.140625" style="270" bestFit="1" customWidth="1"/>
    <col min="13343" max="13568" width="7.5703125" style="270"/>
    <col min="13569" max="13569" width="7.5703125" style="270" customWidth="1"/>
    <col min="13570" max="13570" width="10.140625" style="270" bestFit="1" customWidth="1"/>
    <col min="13571" max="13589" width="7" style="270" customWidth="1"/>
    <col min="13590" max="13590" width="28.7109375" style="270" customWidth="1"/>
    <col min="13591" max="13591" width="7.5703125" style="270" customWidth="1"/>
    <col min="13592" max="13597" width="7.5703125" style="270"/>
    <col min="13598" max="13598" width="12.140625" style="270" bestFit="1" customWidth="1"/>
    <col min="13599" max="13824" width="7.5703125" style="270"/>
    <col min="13825" max="13825" width="7.5703125" style="270" customWidth="1"/>
    <col min="13826" max="13826" width="10.140625" style="270" bestFit="1" customWidth="1"/>
    <col min="13827" max="13845" width="7" style="270" customWidth="1"/>
    <col min="13846" max="13846" width="28.7109375" style="270" customWidth="1"/>
    <col min="13847" max="13847" width="7.5703125" style="270" customWidth="1"/>
    <col min="13848" max="13853" width="7.5703125" style="270"/>
    <col min="13854" max="13854" width="12.140625" style="270" bestFit="1" customWidth="1"/>
    <col min="13855" max="14080" width="7.5703125" style="270"/>
    <col min="14081" max="14081" width="7.5703125" style="270" customWidth="1"/>
    <col min="14082" max="14082" width="10.140625" style="270" bestFit="1" customWidth="1"/>
    <col min="14083" max="14101" width="7" style="270" customWidth="1"/>
    <col min="14102" max="14102" width="28.7109375" style="270" customWidth="1"/>
    <col min="14103" max="14103" width="7.5703125" style="270" customWidth="1"/>
    <col min="14104" max="14109" width="7.5703125" style="270"/>
    <col min="14110" max="14110" width="12.140625" style="270" bestFit="1" customWidth="1"/>
    <col min="14111" max="14336" width="7.5703125" style="270"/>
    <col min="14337" max="14337" width="7.5703125" style="270" customWidth="1"/>
    <col min="14338" max="14338" width="10.140625" style="270" bestFit="1" customWidth="1"/>
    <col min="14339" max="14357" width="7" style="270" customWidth="1"/>
    <col min="14358" max="14358" width="28.7109375" style="270" customWidth="1"/>
    <col min="14359" max="14359" width="7.5703125" style="270" customWidth="1"/>
    <col min="14360" max="14365" width="7.5703125" style="270"/>
    <col min="14366" max="14366" width="12.140625" style="270" bestFit="1" customWidth="1"/>
    <col min="14367" max="14592" width="7.5703125" style="270"/>
    <col min="14593" max="14593" width="7.5703125" style="270" customWidth="1"/>
    <col min="14594" max="14594" width="10.140625" style="270" bestFit="1" customWidth="1"/>
    <col min="14595" max="14613" width="7" style="270" customWidth="1"/>
    <col min="14614" max="14614" width="28.7109375" style="270" customWidth="1"/>
    <col min="14615" max="14615" width="7.5703125" style="270" customWidth="1"/>
    <col min="14616" max="14621" width="7.5703125" style="270"/>
    <col min="14622" max="14622" width="12.140625" style="270" bestFit="1" customWidth="1"/>
    <col min="14623" max="14848" width="7.5703125" style="270"/>
    <col min="14849" max="14849" width="7.5703125" style="270" customWidth="1"/>
    <col min="14850" max="14850" width="10.140625" style="270" bestFit="1" customWidth="1"/>
    <col min="14851" max="14869" width="7" style="270" customWidth="1"/>
    <col min="14870" max="14870" width="28.7109375" style="270" customWidth="1"/>
    <col min="14871" max="14871" width="7.5703125" style="270" customWidth="1"/>
    <col min="14872" max="14877" width="7.5703125" style="270"/>
    <col min="14878" max="14878" width="12.140625" style="270" bestFit="1" customWidth="1"/>
    <col min="14879" max="15104" width="7.5703125" style="270"/>
    <col min="15105" max="15105" width="7.5703125" style="270" customWidth="1"/>
    <col min="15106" max="15106" width="10.140625" style="270" bestFit="1" customWidth="1"/>
    <col min="15107" max="15125" width="7" style="270" customWidth="1"/>
    <col min="15126" max="15126" width="28.7109375" style="270" customWidth="1"/>
    <col min="15127" max="15127" width="7.5703125" style="270" customWidth="1"/>
    <col min="15128" max="15133" width="7.5703125" style="270"/>
    <col min="15134" max="15134" width="12.140625" style="270" bestFit="1" customWidth="1"/>
    <col min="15135" max="15360" width="7.5703125" style="270"/>
    <col min="15361" max="15361" width="7.5703125" style="270" customWidth="1"/>
    <col min="15362" max="15362" width="10.140625" style="270" bestFit="1" customWidth="1"/>
    <col min="15363" max="15381" width="7" style="270" customWidth="1"/>
    <col min="15382" max="15382" width="28.7109375" style="270" customWidth="1"/>
    <col min="15383" max="15383" width="7.5703125" style="270" customWidth="1"/>
    <col min="15384" max="15389" width="7.5703125" style="270"/>
    <col min="15390" max="15390" width="12.140625" style="270" bestFit="1" customWidth="1"/>
    <col min="15391" max="15616" width="7.5703125" style="270"/>
    <col min="15617" max="15617" width="7.5703125" style="270" customWidth="1"/>
    <col min="15618" max="15618" width="10.140625" style="270" bestFit="1" customWidth="1"/>
    <col min="15619" max="15637" width="7" style="270" customWidth="1"/>
    <col min="15638" max="15638" width="28.7109375" style="270" customWidth="1"/>
    <col min="15639" max="15639" width="7.5703125" style="270" customWidth="1"/>
    <col min="15640" max="15645" width="7.5703125" style="270"/>
    <col min="15646" max="15646" width="12.140625" style="270" bestFit="1" customWidth="1"/>
    <col min="15647" max="15872" width="7.5703125" style="270"/>
    <col min="15873" max="15873" width="7.5703125" style="270" customWidth="1"/>
    <col min="15874" max="15874" width="10.140625" style="270" bestFit="1" customWidth="1"/>
    <col min="15875" max="15893" width="7" style="270" customWidth="1"/>
    <col min="15894" max="15894" width="28.7109375" style="270" customWidth="1"/>
    <col min="15895" max="15895" width="7.5703125" style="270" customWidth="1"/>
    <col min="15896" max="15901" width="7.5703125" style="270"/>
    <col min="15902" max="15902" width="12.140625" style="270" bestFit="1" customWidth="1"/>
    <col min="15903" max="16128" width="7.5703125" style="270"/>
    <col min="16129" max="16129" width="7.5703125" style="270" customWidth="1"/>
    <col min="16130" max="16130" width="10.140625" style="270" bestFit="1" customWidth="1"/>
    <col min="16131" max="16149" width="7" style="270" customWidth="1"/>
    <col min="16150" max="16150" width="28.7109375" style="270" customWidth="1"/>
    <col min="16151" max="16151" width="7.5703125" style="270" customWidth="1"/>
    <col min="16152" max="16157" width="7.5703125" style="270"/>
    <col min="16158" max="16158" width="12.140625" style="270" bestFit="1" customWidth="1"/>
    <col min="16159" max="16384" width="7.5703125" style="270"/>
  </cols>
  <sheetData>
    <row r="1" spans="1:42">
      <c r="A1" s="369" t="s">
        <v>104</v>
      </c>
      <c r="B1" s="370"/>
      <c r="C1" s="370"/>
      <c r="D1" s="370"/>
      <c r="E1" s="370"/>
      <c r="F1" s="370"/>
      <c r="G1" s="370"/>
      <c r="H1" s="370"/>
      <c r="I1" s="370"/>
      <c r="J1" s="370"/>
      <c r="K1" s="370"/>
      <c r="L1" s="370"/>
      <c r="M1" s="370"/>
      <c r="N1" s="370"/>
      <c r="O1" s="370"/>
      <c r="P1" s="370"/>
      <c r="Q1" s="370"/>
      <c r="R1" s="370"/>
      <c r="S1" s="370"/>
      <c r="T1" s="370"/>
      <c r="U1" s="371"/>
      <c r="V1" s="369" t="s">
        <v>104</v>
      </c>
      <c r="W1" s="370"/>
      <c r="X1" s="370"/>
      <c r="Y1" s="370"/>
      <c r="Z1" s="370"/>
      <c r="AA1" s="370"/>
      <c r="AB1" s="370"/>
      <c r="AC1" s="370"/>
      <c r="AD1" s="370"/>
      <c r="AE1" s="268"/>
      <c r="AF1" s="268"/>
      <c r="AG1" s="268"/>
      <c r="AH1" s="268"/>
      <c r="AI1" s="268"/>
      <c r="AJ1" s="268"/>
      <c r="AK1" s="268"/>
      <c r="AL1" s="268"/>
      <c r="AM1" s="268"/>
      <c r="AN1" s="268"/>
      <c r="AO1" s="268"/>
      <c r="AP1" s="269"/>
    </row>
    <row r="2" spans="1:42" s="267" customFormat="1" ht="113.25">
      <c r="A2" s="271" t="s">
        <v>105</v>
      </c>
      <c r="B2" s="271" t="s">
        <v>8</v>
      </c>
      <c r="C2" s="272" t="s">
        <v>106</v>
      </c>
      <c r="D2" s="272" t="s">
        <v>107</v>
      </c>
      <c r="E2" s="272" t="s">
        <v>108</v>
      </c>
      <c r="F2" s="272" t="s">
        <v>109</v>
      </c>
      <c r="G2" s="272" t="s">
        <v>110</v>
      </c>
      <c r="H2" s="272" t="s">
        <v>111</v>
      </c>
      <c r="I2" s="272" t="s">
        <v>112</v>
      </c>
      <c r="J2" s="272" t="s">
        <v>113</v>
      </c>
      <c r="K2" s="272" t="s">
        <v>114</v>
      </c>
      <c r="L2" s="272" t="s">
        <v>115</v>
      </c>
      <c r="M2" s="272" t="s">
        <v>116</v>
      </c>
      <c r="N2" s="272" t="s">
        <v>117</v>
      </c>
      <c r="O2" s="271" t="s">
        <v>118</v>
      </c>
      <c r="P2" s="271" t="s">
        <v>119</v>
      </c>
      <c r="Q2" s="271" t="s">
        <v>120</v>
      </c>
      <c r="R2" s="272" t="s">
        <v>121</v>
      </c>
      <c r="S2" s="272" t="s">
        <v>122</v>
      </c>
      <c r="T2" s="272" t="s">
        <v>123</v>
      </c>
      <c r="U2" s="272" t="s">
        <v>124</v>
      </c>
      <c r="V2" s="372" t="s">
        <v>125</v>
      </c>
      <c r="W2" s="372"/>
      <c r="X2" s="372"/>
      <c r="Y2" s="273"/>
      <c r="Z2" s="368" t="s">
        <v>91</v>
      </c>
      <c r="AA2" s="368"/>
      <c r="AB2" s="368"/>
      <c r="AC2" s="368"/>
      <c r="AD2" s="368"/>
    </row>
    <row r="3" spans="1:42" s="277" customFormat="1">
      <c r="A3" s="274"/>
      <c r="B3" s="242"/>
      <c r="C3" s="243" t="s">
        <v>126</v>
      </c>
      <c r="D3" s="243" t="s">
        <v>127</v>
      </c>
      <c r="E3" s="243" t="s">
        <v>127</v>
      </c>
      <c r="F3" s="243" t="s">
        <v>126</v>
      </c>
      <c r="G3" s="243" t="s">
        <v>126</v>
      </c>
      <c r="H3" s="243" t="s">
        <v>126</v>
      </c>
      <c r="I3" s="243" t="s">
        <v>126</v>
      </c>
      <c r="J3" s="243" t="s">
        <v>126</v>
      </c>
      <c r="K3" s="243" t="s">
        <v>126</v>
      </c>
      <c r="L3" s="243" t="s">
        <v>126</v>
      </c>
      <c r="M3" s="243" t="s">
        <v>126</v>
      </c>
      <c r="N3" s="243" t="s">
        <v>127</v>
      </c>
      <c r="O3" s="243" t="s">
        <v>126</v>
      </c>
      <c r="P3" s="243" t="s">
        <v>126</v>
      </c>
      <c r="Q3" s="243" t="s">
        <v>126</v>
      </c>
      <c r="R3" s="243" t="s">
        <v>126</v>
      </c>
      <c r="S3" s="243" t="s">
        <v>126</v>
      </c>
      <c r="T3" s="243" t="s">
        <v>126</v>
      </c>
      <c r="U3" s="243" t="s">
        <v>126</v>
      </c>
      <c r="V3" s="275" t="s">
        <v>131</v>
      </c>
      <c r="W3" s="260">
        <f>0.2*1.2</f>
        <v>0.24</v>
      </c>
      <c r="X3" s="261" t="s">
        <v>126</v>
      </c>
      <c r="Y3" s="276"/>
      <c r="Z3" s="263" t="s">
        <v>129</v>
      </c>
      <c r="AA3" s="263"/>
      <c r="AB3" s="263"/>
      <c r="AC3" s="263"/>
      <c r="AD3" s="263"/>
    </row>
    <row r="4" spans="1:42">
      <c r="A4" s="244">
        <v>1</v>
      </c>
      <c r="B4" s="245" t="s">
        <v>128</v>
      </c>
      <c r="C4" s="246">
        <v>3.82</v>
      </c>
      <c r="D4" s="246">
        <v>7.82</v>
      </c>
      <c r="E4" s="246">
        <v>2.8</v>
      </c>
      <c r="F4" s="246">
        <v>1.7</v>
      </c>
      <c r="G4" s="246"/>
      <c r="H4" s="246"/>
      <c r="I4" s="246"/>
      <c r="J4" s="246"/>
      <c r="K4" s="246">
        <f t="shared" ref="K4:K18" si="0">D4*(E4-F4)-U4</f>
        <v>8.1069999999999993</v>
      </c>
      <c r="L4" s="246">
        <f t="shared" ref="L4:L11" si="1">C4</f>
        <v>3.82</v>
      </c>
      <c r="M4" s="246">
        <f t="shared" ref="M4:M11" si="2">L4</f>
        <v>3.82</v>
      </c>
      <c r="N4" s="246">
        <f t="shared" ref="N4:N11" si="3">D4</f>
        <v>7.82</v>
      </c>
      <c r="O4" s="246"/>
      <c r="P4" s="246"/>
      <c r="Q4" s="246"/>
      <c r="R4" s="246"/>
      <c r="S4" s="246"/>
      <c r="T4" s="246">
        <f>0.5*0.2+0.8*1.7</f>
        <v>1.4600000000000002</v>
      </c>
      <c r="U4" s="246">
        <f>0.5*0.55+0.8*2.1-T4</f>
        <v>0.49499999999999988</v>
      </c>
      <c r="V4" s="275" t="s">
        <v>138</v>
      </c>
      <c r="W4" s="260">
        <f>0.8*2.1*10+0.9*2.1+2*1.5</f>
        <v>21.69</v>
      </c>
      <c r="X4" s="261" t="s">
        <v>126</v>
      </c>
      <c r="Y4" s="3"/>
      <c r="Z4" s="247" t="s">
        <v>132</v>
      </c>
      <c r="AA4" s="247" t="s">
        <v>133</v>
      </c>
      <c r="AB4" s="247" t="s">
        <v>134</v>
      </c>
      <c r="AC4" s="247" t="s">
        <v>135</v>
      </c>
      <c r="AD4" s="248" t="s">
        <v>136</v>
      </c>
    </row>
    <row r="5" spans="1:42">
      <c r="A5" s="244">
        <v>2</v>
      </c>
      <c r="B5" s="245" t="s">
        <v>130</v>
      </c>
      <c r="C5" s="246">
        <v>8</v>
      </c>
      <c r="D5" s="246">
        <v>12</v>
      </c>
      <c r="E5" s="246">
        <v>2.8</v>
      </c>
      <c r="F5" s="246">
        <v>1.1000000000000001</v>
      </c>
      <c r="G5" s="246">
        <f>D5*F5-T5</f>
        <v>12.32</v>
      </c>
      <c r="H5" s="246">
        <f>G5</f>
        <v>12.32</v>
      </c>
      <c r="I5" s="246">
        <f>H5</f>
        <v>12.32</v>
      </c>
      <c r="J5" s="246">
        <f>I5</f>
        <v>12.32</v>
      </c>
      <c r="K5" s="246">
        <f t="shared" si="0"/>
        <v>17.799999999999997</v>
      </c>
      <c r="L5" s="246">
        <f t="shared" si="1"/>
        <v>8</v>
      </c>
      <c r="M5" s="246">
        <f t="shared" si="2"/>
        <v>8</v>
      </c>
      <c r="N5" s="246">
        <f t="shared" si="3"/>
        <v>12</v>
      </c>
      <c r="O5" s="246"/>
      <c r="P5" s="246"/>
      <c r="Q5" s="246"/>
      <c r="R5" s="246"/>
      <c r="S5" s="246"/>
      <c r="T5" s="246">
        <f>0.8*1.1</f>
        <v>0.88000000000000012</v>
      </c>
      <c r="U5" s="246">
        <f>1.5*1.2+0.8*2.1-T5</f>
        <v>2.5999999999999996</v>
      </c>
      <c r="V5" s="275" t="s">
        <v>141</v>
      </c>
      <c r="W5" s="260">
        <v>10</v>
      </c>
      <c r="X5" s="261" t="s">
        <v>142</v>
      </c>
      <c r="Y5" s="3"/>
      <c r="Z5" s="249">
        <v>0.5</v>
      </c>
      <c r="AA5" s="249">
        <v>0.55000000000000004</v>
      </c>
      <c r="AB5" s="249">
        <v>5</v>
      </c>
      <c r="AC5" s="249">
        <f>Z5*AA5*AB5</f>
        <v>1.375</v>
      </c>
      <c r="AD5" s="250" t="s">
        <v>139</v>
      </c>
    </row>
    <row r="6" spans="1:42">
      <c r="A6" s="244">
        <v>3</v>
      </c>
      <c r="B6" s="245" t="s">
        <v>137</v>
      </c>
      <c r="C6" s="246">
        <v>22.72</v>
      </c>
      <c r="D6" s="246">
        <v>19.62</v>
      </c>
      <c r="E6" s="246">
        <v>2.8</v>
      </c>
      <c r="F6" s="246">
        <v>1.7</v>
      </c>
      <c r="G6" s="246"/>
      <c r="H6" s="246"/>
      <c r="I6" s="246"/>
      <c r="J6" s="246"/>
      <c r="K6" s="246">
        <f t="shared" si="0"/>
        <v>20.041999999999994</v>
      </c>
      <c r="L6" s="246">
        <f t="shared" si="1"/>
        <v>22.72</v>
      </c>
      <c r="M6" s="246">
        <f t="shared" si="2"/>
        <v>22.72</v>
      </c>
      <c r="N6" s="246">
        <f t="shared" si="3"/>
        <v>19.62</v>
      </c>
      <c r="O6" s="246">
        <f>0.8*2.1</f>
        <v>1.6800000000000002</v>
      </c>
      <c r="P6" s="246"/>
      <c r="Q6" s="246"/>
      <c r="R6" s="246"/>
      <c r="S6" s="246"/>
      <c r="T6" s="246">
        <f>0.8*1.7*3+1.5*0.8+1.4*0.8</f>
        <v>6.4</v>
      </c>
      <c r="U6" s="246">
        <f>1.4*1+1.5*1+0.8*2.1*3-T6</f>
        <v>1.5400000000000009</v>
      </c>
      <c r="V6" s="275" t="s">
        <v>143</v>
      </c>
      <c r="W6" s="260">
        <v>1</v>
      </c>
      <c r="X6" s="261" t="s">
        <v>142</v>
      </c>
      <c r="Y6" s="3"/>
      <c r="Z6" s="249">
        <v>1.5</v>
      </c>
      <c r="AA6" s="249">
        <v>1.2</v>
      </c>
      <c r="AB6" s="249">
        <v>1</v>
      </c>
      <c r="AC6" s="249">
        <f t="shared" ref="AC6:AC11" si="4">Z6*AA6*AB6</f>
        <v>1.7999999999999998</v>
      </c>
      <c r="AD6" s="250" t="s">
        <v>139</v>
      </c>
    </row>
    <row r="7" spans="1:42" ht="25.5">
      <c r="A7" s="244">
        <v>4</v>
      </c>
      <c r="B7" s="245" t="s">
        <v>140</v>
      </c>
      <c r="C7" s="246">
        <v>39.840000000000003</v>
      </c>
      <c r="D7" s="246">
        <v>25.32</v>
      </c>
      <c r="E7" s="246">
        <v>2.8</v>
      </c>
      <c r="F7" s="246">
        <v>1.1000000000000001</v>
      </c>
      <c r="G7" s="246">
        <f>D7*F7-T7</f>
        <v>26.172000000000004</v>
      </c>
      <c r="H7" s="246">
        <f t="shared" ref="H7:J16" si="5">G7</f>
        <v>26.172000000000004</v>
      </c>
      <c r="I7" s="246">
        <f t="shared" si="5"/>
        <v>26.172000000000004</v>
      </c>
      <c r="J7" s="246">
        <f t="shared" si="5"/>
        <v>26.172000000000004</v>
      </c>
      <c r="K7" s="251">
        <f t="shared" si="0"/>
        <v>38.244</v>
      </c>
      <c r="L7" s="246">
        <f t="shared" si="1"/>
        <v>39.840000000000003</v>
      </c>
      <c r="M7" s="246">
        <f t="shared" si="2"/>
        <v>39.840000000000003</v>
      </c>
      <c r="N7" s="246">
        <f t="shared" si="3"/>
        <v>25.32</v>
      </c>
      <c r="O7" s="246"/>
      <c r="P7" s="246"/>
      <c r="Q7" s="246"/>
      <c r="R7" s="246"/>
      <c r="S7" s="246"/>
      <c r="T7" s="246">
        <f>0.8*1.1+2*0.2*2</f>
        <v>1.6800000000000002</v>
      </c>
      <c r="U7" s="252">
        <f>0.8*2.1+2*1.2*2-T7</f>
        <v>4.8000000000000007</v>
      </c>
      <c r="V7" s="275" t="s">
        <v>145</v>
      </c>
      <c r="W7" s="260">
        <v>1</v>
      </c>
      <c r="X7" s="261" t="s">
        <v>142</v>
      </c>
      <c r="Y7" s="3"/>
      <c r="Z7" s="249">
        <v>2</v>
      </c>
      <c r="AA7" s="249">
        <v>1.2</v>
      </c>
      <c r="AB7" s="249">
        <v>5</v>
      </c>
      <c r="AC7" s="249">
        <f t="shared" si="4"/>
        <v>12</v>
      </c>
      <c r="AD7" s="250" t="s">
        <v>139</v>
      </c>
    </row>
    <row r="8" spans="1:42" ht="25.5">
      <c r="A8" s="244">
        <v>5</v>
      </c>
      <c r="B8" s="245" t="s">
        <v>140</v>
      </c>
      <c r="C8" s="246">
        <v>40.36</v>
      </c>
      <c r="D8" s="246">
        <v>25.5</v>
      </c>
      <c r="E8" s="246">
        <v>2.8</v>
      </c>
      <c r="F8" s="246">
        <v>1.1000000000000001</v>
      </c>
      <c r="G8" s="246">
        <f>D8*F8-T8</f>
        <v>26.37</v>
      </c>
      <c r="H8" s="246">
        <f t="shared" si="5"/>
        <v>26.37</v>
      </c>
      <c r="I8" s="246">
        <f t="shared" si="5"/>
        <v>26.37</v>
      </c>
      <c r="J8" s="246">
        <f t="shared" si="5"/>
        <v>26.37</v>
      </c>
      <c r="K8" s="251">
        <f t="shared" si="0"/>
        <v>38.549999999999997</v>
      </c>
      <c r="L8" s="246">
        <f t="shared" si="1"/>
        <v>40.36</v>
      </c>
      <c r="M8" s="246">
        <f t="shared" si="2"/>
        <v>40.36</v>
      </c>
      <c r="N8" s="246">
        <f t="shared" si="3"/>
        <v>25.5</v>
      </c>
      <c r="O8" s="246"/>
      <c r="P8" s="246"/>
      <c r="Q8" s="246"/>
      <c r="R8" s="246"/>
      <c r="S8" s="246"/>
      <c r="T8" s="246">
        <f>0.8*1.1+2*0.2*2</f>
        <v>1.6800000000000002</v>
      </c>
      <c r="U8" s="252">
        <f>0.8*2.1+2*1.2*2-T8</f>
        <v>4.8000000000000007</v>
      </c>
      <c r="V8" s="275" t="s">
        <v>147</v>
      </c>
      <c r="W8" s="260">
        <v>1</v>
      </c>
      <c r="X8" s="261" t="s">
        <v>142</v>
      </c>
      <c r="Y8" s="3"/>
      <c r="Z8" s="249">
        <v>2.5</v>
      </c>
      <c r="AA8" s="249">
        <v>1.5</v>
      </c>
      <c r="AB8" s="249">
        <v>3</v>
      </c>
      <c r="AC8" s="249">
        <f t="shared" si="4"/>
        <v>11.25</v>
      </c>
      <c r="AD8" s="250" t="s">
        <v>139</v>
      </c>
    </row>
    <row r="9" spans="1:42">
      <c r="A9" s="244">
        <v>6</v>
      </c>
      <c r="B9" s="245" t="s">
        <v>144</v>
      </c>
      <c r="C9" s="246">
        <v>7.47</v>
      </c>
      <c r="D9" s="246">
        <v>11.42</v>
      </c>
      <c r="E9" s="246">
        <v>2.8</v>
      </c>
      <c r="F9" s="246">
        <v>1.1000000000000001</v>
      </c>
      <c r="G9" s="246">
        <f>D9*F9-T9</f>
        <v>11.682</v>
      </c>
      <c r="H9" s="246">
        <f t="shared" si="5"/>
        <v>11.682</v>
      </c>
      <c r="I9" s="246">
        <f t="shared" si="5"/>
        <v>11.682</v>
      </c>
      <c r="J9" s="246">
        <f t="shared" si="5"/>
        <v>11.682</v>
      </c>
      <c r="K9" s="246">
        <f t="shared" si="0"/>
        <v>18.338999999999999</v>
      </c>
      <c r="L9" s="246">
        <f t="shared" si="1"/>
        <v>7.47</v>
      </c>
      <c r="M9" s="246">
        <f t="shared" si="2"/>
        <v>7.47</v>
      </c>
      <c r="N9" s="246">
        <f t="shared" si="3"/>
        <v>11.42</v>
      </c>
      <c r="O9" s="246"/>
      <c r="P9" s="246"/>
      <c r="Q9" s="246"/>
      <c r="R9" s="246"/>
      <c r="S9" s="246"/>
      <c r="T9" s="246">
        <f>0.8*1.1</f>
        <v>0.88000000000000012</v>
      </c>
      <c r="U9" s="246">
        <f>0.8*2.1+0.5*0.55-T9</f>
        <v>1.075</v>
      </c>
      <c r="V9" s="275" t="s">
        <v>149</v>
      </c>
      <c r="W9" s="260">
        <f>(1.2+1+0.5+1.3+1+0.8+1+1.2+0.8+1.5+3+2.1+2.8+0.8+2.1+1.1+2)*0.5</f>
        <v>12.100000000000001</v>
      </c>
      <c r="X9" s="261" t="s">
        <v>126</v>
      </c>
      <c r="Y9" s="3"/>
      <c r="Z9" s="249">
        <v>2</v>
      </c>
      <c r="AA9" s="249">
        <v>1.5</v>
      </c>
      <c r="AB9" s="249">
        <v>3</v>
      </c>
      <c r="AC9" s="249">
        <f t="shared" si="4"/>
        <v>9</v>
      </c>
      <c r="AD9" s="250" t="s">
        <v>139</v>
      </c>
    </row>
    <row r="10" spans="1:42">
      <c r="A10" s="244">
        <v>7</v>
      </c>
      <c r="B10" s="245" t="s">
        <v>146</v>
      </c>
      <c r="C10" s="246">
        <v>4.66</v>
      </c>
      <c r="D10" s="246">
        <v>8.66</v>
      </c>
      <c r="E10" s="246">
        <v>2.8</v>
      </c>
      <c r="F10" s="246">
        <v>1.7</v>
      </c>
      <c r="G10" s="246"/>
      <c r="H10" s="246"/>
      <c r="I10" s="246"/>
      <c r="J10" s="246"/>
      <c r="K10" s="246">
        <f t="shared" si="0"/>
        <v>9.1660000000000004</v>
      </c>
      <c r="L10" s="246">
        <f t="shared" si="1"/>
        <v>4.66</v>
      </c>
      <c r="M10" s="246">
        <f t="shared" si="2"/>
        <v>4.66</v>
      </c>
      <c r="N10" s="246">
        <f t="shared" si="3"/>
        <v>8.66</v>
      </c>
      <c r="O10" s="246"/>
      <c r="P10" s="246"/>
      <c r="Q10" s="246"/>
      <c r="R10" s="246"/>
      <c r="S10" s="246"/>
      <c r="T10" s="246">
        <f>0.9*1.7</f>
        <v>1.53</v>
      </c>
      <c r="U10" s="246">
        <f>0.9*2.1-T10</f>
        <v>0.3600000000000001</v>
      </c>
      <c r="V10" s="278" t="s">
        <v>151</v>
      </c>
      <c r="W10" s="260">
        <v>4</v>
      </c>
      <c r="X10" s="261" t="s">
        <v>127</v>
      </c>
      <c r="Y10" s="3"/>
      <c r="Z10" s="249">
        <v>1.4</v>
      </c>
      <c r="AA10" s="249">
        <v>1</v>
      </c>
      <c r="AB10" s="249">
        <v>1</v>
      </c>
      <c r="AC10" s="249">
        <f t="shared" si="4"/>
        <v>1.4</v>
      </c>
      <c r="AD10" s="250" t="s">
        <v>139</v>
      </c>
    </row>
    <row r="11" spans="1:42">
      <c r="A11" s="244">
        <v>8</v>
      </c>
      <c r="B11" s="245" t="s">
        <v>148</v>
      </c>
      <c r="C11" s="246">
        <v>2.4</v>
      </c>
      <c r="D11" s="246">
        <v>6.4</v>
      </c>
      <c r="E11" s="246">
        <v>2.8</v>
      </c>
      <c r="F11" s="246">
        <v>1.7</v>
      </c>
      <c r="G11" s="246"/>
      <c r="H11" s="246"/>
      <c r="I11" s="246"/>
      <c r="J11" s="246"/>
      <c r="K11" s="246">
        <f t="shared" si="0"/>
        <v>6.544999999999999</v>
      </c>
      <c r="L11" s="246">
        <f t="shared" si="1"/>
        <v>2.4</v>
      </c>
      <c r="M11" s="246">
        <f t="shared" si="2"/>
        <v>2.4</v>
      </c>
      <c r="N11" s="246">
        <f t="shared" si="3"/>
        <v>6.4</v>
      </c>
      <c r="O11" s="246"/>
      <c r="P11" s="246"/>
      <c r="Q11" s="246"/>
      <c r="R11" s="246"/>
      <c r="S11" s="246"/>
      <c r="T11" s="246">
        <f>0.8*1.7+0.5*0.2</f>
        <v>1.4600000000000002</v>
      </c>
      <c r="U11" s="246">
        <f>0.8*2.1+0.5*0.55-T11</f>
        <v>0.49499999999999988</v>
      </c>
      <c r="V11" s="278" t="s">
        <v>153</v>
      </c>
      <c r="W11" s="260">
        <v>1</v>
      </c>
      <c r="X11" s="261" t="s">
        <v>142</v>
      </c>
      <c r="Y11" s="3"/>
      <c r="Z11" s="249">
        <v>0.4</v>
      </c>
      <c r="AA11" s="249">
        <v>0.5</v>
      </c>
      <c r="AB11" s="249">
        <v>1</v>
      </c>
      <c r="AC11" s="249">
        <f t="shared" si="4"/>
        <v>0.2</v>
      </c>
      <c r="AD11" s="250" t="s">
        <v>139</v>
      </c>
    </row>
    <row r="12" spans="1:42">
      <c r="A12" s="244">
        <v>9</v>
      </c>
      <c r="B12" s="245" t="s">
        <v>150</v>
      </c>
      <c r="C12" s="246">
        <v>85.14</v>
      </c>
      <c r="D12" s="246">
        <f>44.46-1.69</f>
        <v>42.77</v>
      </c>
      <c r="E12" s="246">
        <v>3.2</v>
      </c>
      <c r="F12" s="246">
        <v>1.1000000000000001</v>
      </c>
      <c r="G12" s="246">
        <f>D12*F12-T12</f>
        <v>37.257000000000005</v>
      </c>
      <c r="H12" s="246">
        <f>G12</f>
        <v>37.257000000000005</v>
      </c>
      <c r="I12" s="246">
        <f>H12</f>
        <v>37.257000000000005</v>
      </c>
      <c r="J12" s="246">
        <f t="shared" si="5"/>
        <v>37.257000000000005</v>
      </c>
      <c r="K12" s="246">
        <f t="shared" si="0"/>
        <v>79.317000000000007</v>
      </c>
      <c r="L12" s="246"/>
      <c r="M12" s="246"/>
      <c r="N12" s="246"/>
      <c r="O12" s="246"/>
      <c r="P12" s="246"/>
      <c r="Q12" s="246"/>
      <c r="R12" s="246"/>
      <c r="S12" s="246"/>
      <c r="T12" s="246">
        <f>0.8*1.1*10+0.9*1.1</f>
        <v>9.7900000000000009</v>
      </c>
      <c r="U12" s="246">
        <f>0.8*2.1*10+0.9*2.1+0.4*0.5+1.4*1-T12</f>
        <v>10.499999999999998</v>
      </c>
      <c r="V12" s="275" t="s">
        <v>155</v>
      </c>
      <c r="W12" s="260">
        <f>1.24*0.8+1.15*0.8*2</f>
        <v>2.8319999999999999</v>
      </c>
      <c r="X12" s="261" t="s">
        <v>126</v>
      </c>
      <c r="Y12" s="3"/>
      <c r="Z12" s="253" t="s">
        <v>57</v>
      </c>
      <c r="AA12" s="253"/>
      <c r="AB12" s="253"/>
      <c r="AC12" s="253">
        <f>SUM(AC5:AC11)</f>
        <v>37.024999999999999</v>
      </c>
      <c r="AD12" s="248"/>
    </row>
    <row r="13" spans="1:42">
      <c r="A13" s="244">
        <v>10</v>
      </c>
      <c r="B13" s="245" t="s">
        <v>152</v>
      </c>
      <c r="C13" s="246">
        <v>10.01</v>
      </c>
      <c r="D13" s="246">
        <v>13.5</v>
      </c>
      <c r="E13" s="246">
        <v>2.8</v>
      </c>
      <c r="F13" s="246">
        <v>1.7</v>
      </c>
      <c r="G13" s="246"/>
      <c r="H13" s="246"/>
      <c r="I13" s="246"/>
      <c r="J13" s="246"/>
      <c r="K13" s="246">
        <f t="shared" si="0"/>
        <v>14.354999999999999</v>
      </c>
      <c r="L13" s="246">
        <f t="shared" ref="L13:L19" si="6">C13</f>
        <v>10.01</v>
      </c>
      <c r="M13" s="246">
        <f t="shared" ref="M13:M19" si="7">L13</f>
        <v>10.01</v>
      </c>
      <c r="N13" s="246">
        <f t="shared" ref="N13:N19" si="8">D13</f>
        <v>13.5</v>
      </c>
      <c r="O13" s="246"/>
      <c r="P13" s="246"/>
      <c r="Q13" s="246"/>
      <c r="R13" s="246"/>
      <c r="S13" s="246"/>
      <c r="T13" s="246">
        <f>0.8*1.7+0.5*0.2</f>
        <v>1.4600000000000002</v>
      </c>
      <c r="U13" s="246">
        <f>0.8*2.1+0.5*0.55-T13</f>
        <v>0.49499999999999988</v>
      </c>
      <c r="V13" s="278" t="s">
        <v>157</v>
      </c>
      <c r="W13" s="260">
        <f>0.8*2.1</f>
        <v>1.6800000000000002</v>
      </c>
      <c r="X13" s="261" t="s">
        <v>126</v>
      </c>
      <c r="Y13" s="3"/>
      <c r="Z13" s="263" t="s">
        <v>156</v>
      </c>
      <c r="AA13" s="263"/>
      <c r="AB13" s="263"/>
      <c r="AC13" s="263"/>
      <c r="AD13" s="263"/>
    </row>
    <row r="14" spans="1:42">
      <c r="A14" s="244">
        <v>11</v>
      </c>
      <c r="B14" s="245" t="s">
        <v>154</v>
      </c>
      <c r="C14" s="246">
        <v>8.4600000000000009</v>
      </c>
      <c r="D14" s="246">
        <v>12.82</v>
      </c>
      <c r="E14" s="246">
        <v>2.8</v>
      </c>
      <c r="F14" s="246">
        <v>1.7</v>
      </c>
      <c r="G14" s="246"/>
      <c r="H14" s="246"/>
      <c r="I14" s="246"/>
      <c r="J14" s="246"/>
      <c r="K14" s="246">
        <f>D14*(E14-F14)-U14</f>
        <v>13.606999999999999</v>
      </c>
      <c r="L14" s="246">
        <f t="shared" si="6"/>
        <v>8.4600000000000009</v>
      </c>
      <c r="M14" s="246">
        <f t="shared" si="7"/>
        <v>8.4600000000000009</v>
      </c>
      <c r="N14" s="246">
        <f t="shared" si="8"/>
        <v>12.82</v>
      </c>
      <c r="O14" s="246"/>
      <c r="P14" s="246"/>
      <c r="Q14" s="246"/>
      <c r="R14" s="246"/>
      <c r="S14" s="246"/>
      <c r="T14" s="246">
        <f>0.8*1.7+0.5*0.2</f>
        <v>1.4600000000000002</v>
      </c>
      <c r="U14" s="246">
        <f>0.8*2.1+0.5*0.55-T14</f>
        <v>0.49499999999999988</v>
      </c>
      <c r="V14" s="278" t="s">
        <v>159</v>
      </c>
      <c r="W14" s="260">
        <v>2</v>
      </c>
      <c r="X14" s="261" t="s">
        <v>142</v>
      </c>
      <c r="Y14" s="3"/>
      <c r="Z14" s="247" t="s">
        <v>132</v>
      </c>
      <c r="AA14" s="247" t="s">
        <v>133</v>
      </c>
      <c r="AB14" s="247" t="s">
        <v>134</v>
      </c>
      <c r="AC14" s="247" t="s">
        <v>135</v>
      </c>
      <c r="AD14" s="248" t="s">
        <v>136</v>
      </c>
    </row>
    <row r="15" spans="1:42" ht="25.5">
      <c r="A15" s="244">
        <v>12</v>
      </c>
      <c r="B15" s="245" t="s">
        <v>140</v>
      </c>
      <c r="C15" s="246">
        <v>42.3</v>
      </c>
      <c r="D15" s="246">
        <v>26.06</v>
      </c>
      <c r="E15" s="246">
        <v>2.8</v>
      </c>
      <c r="F15" s="246">
        <v>1.1000000000000001</v>
      </c>
      <c r="G15" s="246">
        <f>D15*F15-T15</f>
        <v>26.986000000000001</v>
      </c>
      <c r="H15" s="246">
        <f t="shared" ref="H15:I19" si="9">G15</f>
        <v>26.986000000000001</v>
      </c>
      <c r="I15" s="246">
        <f t="shared" si="9"/>
        <v>26.986000000000001</v>
      </c>
      <c r="J15" s="246">
        <f t="shared" si="5"/>
        <v>26.986000000000001</v>
      </c>
      <c r="K15" s="246">
        <f t="shared" si="0"/>
        <v>38.301999999999992</v>
      </c>
      <c r="L15" s="246">
        <f t="shared" si="6"/>
        <v>42.3</v>
      </c>
      <c r="M15" s="246">
        <f t="shared" si="7"/>
        <v>42.3</v>
      </c>
      <c r="N15" s="246">
        <f t="shared" si="8"/>
        <v>26.06</v>
      </c>
      <c r="O15" s="246"/>
      <c r="P15" s="246"/>
      <c r="Q15" s="246"/>
      <c r="R15" s="246"/>
      <c r="S15" s="246"/>
      <c r="T15" s="246">
        <f>2*0.2*2+0.8*1.1</f>
        <v>1.6800000000000002</v>
      </c>
      <c r="U15" s="246">
        <f>0.8*2.1+2*1.5*2-T15</f>
        <v>6</v>
      </c>
      <c r="V15" s="278" t="s">
        <v>161</v>
      </c>
      <c r="W15" s="260">
        <f>2*1.5</f>
        <v>3</v>
      </c>
      <c r="X15" s="261" t="s">
        <v>126</v>
      </c>
      <c r="Y15" s="3"/>
      <c r="Z15" s="247">
        <v>0.8</v>
      </c>
      <c r="AA15" s="247">
        <v>2.1</v>
      </c>
      <c r="AB15" s="247">
        <v>1</v>
      </c>
      <c r="AC15" s="247">
        <f>Z15*AA15*AB15</f>
        <v>1.6800000000000002</v>
      </c>
      <c r="AD15" s="250" t="s">
        <v>139</v>
      </c>
    </row>
    <row r="16" spans="1:42">
      <c r="A16" s="244">
        <v>13</v>
      </c>
      <c r="B16" s="245" t="s">
        <v>158</v>
      </c>
      <c r="C16" s="246">
        <v>22.78</v>
      </c>
      <c r="D16" s="246">
        <v>19.7</v>
      </c>
      <c r="E16" s="246">
        <v>2.8</v>
      </c>
      <c r="F16" s="246">
        <v>1.1000000000000001</v>
      </c>
      <c r="G16" s="246">
        <f>D16*F16-T16</f>
        <v>19.490000000000002</v>
      </c>
      <c r="H16" s="246">
        <f t="shared" si="9"/>
        <v>19.490000000000002</v>
      </c>
      <c r="I16" s="246">
        <f t="shared" si="9"/>
        <v>19.490000000000002</v>
      </c>
      <c r="J16" s="246">
        <f t="shared" si="5"/>
        <v>19.490000000000002</v>
      </c>
      <c r="K16" s="246">
        <f t="shared" si="0"/>
        <v>30.039999999999996</v>
      </c>
      <c r="L16" s="246">
        <f t="shared" si="6"/>
        <v>22.78</v>
      </c>
      <c r="M16" s="246">
        <f t="shared" si="7"/>
        <v>22.78</v>
      </c>
      <c r="N16" s="246">
        <f t="shared" si="8"/>
        <v>19.7</v>
      </c>
      <c r="O16" s="246"/>
      <c r="P16" s="246"/>
      <c r="Q16" s="246"/>
      <c r="R16" s="246"/>
      <c r="S16" s="246"/>
      <c r="T16" s="246">
        <f>2.5*0.2+0.8*2.1</f>
        <v>2.1800000000000002</v>
      </c>
      <c r="U16" s="246">
        <f>0.8*2.1+2.5*1.5+0.4*0.5-T16</f>
        <v>3.4499999999999997</v>
      </c>
      <c r="V16" s="270"/>
      <c r="W16" s="270"/>
      <c r="X16" s="270"/>
      <c r="Y16" s="3"/>
      <c r="Z16" s="247">
        <v>1.68</v>
      </c>
      <c r="AA16" s="247">
        <v>2.1</v>
      </c>
      <c r="AB16" s="247">
        <v>1</v>
      </c>
      <c r="AC16" s="247">
        <f>Z16*AA16*AB16</f>
        <v>3.528</v>
      </c>
      <c r="AD16" s="248" t="s">
        <v>162</v>
      </c>
    </row>
    <row r="17" spans="1:30">
      <c r="A17" s="244">
        <v>14</v>
      </c>
      <c r="B17" s="245" t="s">
        <v>160</v>
      </c>
      <c r="C17" s="246">
        <v>10.9</v>
      </c>
      <c r="D17" s="246">
        <f>16.34-1.68</f>
        <v>14.66</v>
      </c>
      <c r="E17" s="246">
        <v>2.8</v>
      </c>
      <c r="F17" s="246">
        <v>1.1000000000000001</v>
      </c>
      <c r="G17" s="246">
        <f>D17*F17-T17</f>
        <v>13.398000000000001</v>
      </c>
      <c r="H17" s="246">
        <f t="shared" si="9"/>
        <v>13.398000000000001</v>
      </c>
      <c r="I17" s="246">
        <f t="shared" si="9"/>
        <v>13.398000000000001</v>
      </c>
      <c r="J17" s="246">
        <f>I17</f>
        <v>13.398000000000001</v>
      </c>
      <c r="K17" s="246">
        <f t="shared" si="0"/>
        <v>22.441999999999997</v>
      </c>
      <c r="L17" s="246">
        <f t="shared" si="6"/>
        <v>10.9</v>
      </c>
      <c r="M17" s="246">
        <f t="shared" si="7"/>
        <v>10.9</v>
      </c>
      <c r="N17" s="246">
        <f t="shared" si="8"/>
        <v>14.66</v>
      </c>
      <c r="O17" s="246"/>
      <c r="P17" s="246"/>
      <c r="Q17" s="246"/>
      <c r="R17" s="246"/>
      <c r="S17" s="246"/>
      <c r="T17" s="246">
        <f>0.8*1.1+1.68*1.1</f>
        <v>2.7280000000000002</v>
      </c>
      <c r="U17" s="246">
        <f>1.68*2.1+0.8*2.1-T17</f>
        <v>2.48</v>
      </c>
      <c r="V17" s="270"/>
      <c r="W17" s="270"/>
      <c r="X17" s="270"/>
      <c r="Y17" s="3"/>
      <c r="Z17" s="247">
        <v>0.8</v>
      </c>
      <c r="AA17" s="247">
        <v>2.1</v>
      </c>
      <c r="AB17" s="247">
        <v>10</v>
      </c>
      <c r="AC17" s="247">
        <f>Z17*AA17*AB17</f>
        <v>16.8</v>
      </c>
      <c r="AD17" s="248" t="s">
        <v>163</v>
      </c>
    </row>
    <row r="18" spans="1:30" ht="25.5">
      <c r="A18" s="244">
        <v>15</v>
      </c>
      <c r="B18" s="245" t="s">
        <v>140</v>
      </c>
      <c r="C18" s="246">
        <v>41.94</v>
      </c>
      <c r="D18" s="246">
        <v>25.94</v>
      </c>
      <c r="E18" s="246">
        <v>2.8</v>
      </c>
      <c r="F18" s="246">
        <v>1.1000000000000001</v>
      </c>
      <c r="G18" s="246">
        <f>D18*F18-T18</f>
        <v>26.654000000000003</v>
      </c>
      <c r="H18" s="246">
        <f t="shared" si="9"/>
        <v>26.654000000000003</v>
      </c>
      <c r="I18" s="246">
        <f t="shared" si="9"/>
        <v>26.654000000000003</v>
      </c>
      <c r="J18" s="246">
        <f>I18</f>
        <v>26.654000000000003</v>
      </c>
      <c r="K18" s="246">
        <f t="shared" si="0"/>
        <v>36.797999999999995</v>
      </c>
      <c r="L18" s="246">
        <f t="shared" si="6"/>
        <v>41.94</v>
      </c>
      <c r="M18" s="246">
        <f t="shared" si="7"/>
        <v>41.94</v>
      </c>
      <c r="N18" s="246">
        <f t="shared" si="8"/>
        <v>25.94</v>
      </c>
      <c r="O18" s="246"/>
      <c r="P18" s="246"/>
      <c r="Q18" s="246"/>
      <c r="R18" s="246"/>
      <c r="S18" s="246"/>
      <c r="T18" s="246">
        <f>0.8*1.1+2.5*0.2*2</f>
        <v>1.8800000000000001</v>
      </c>
      <c r="U18" s="246">
        <f>0.8*2.1+2.5*1.5*2-T18</f>
        <v>7.3</v>
      </c>
      <c r="V18" s="279"/>
      <c r="W18" s="264"/>
      <c r="X18" s="3"/>
      <c r="Y18" s="3"/>
      <c r="Z18" s="247">
        <v>0.9</v>
      </c>
      <c r="AA18" s="247">
        <v>2.1</v>
      </c>
      <c r="AB18" s="247">
        <v>3</v>
      </c>
      <c r="AC18" s="247">
        <f>Z18*AA18*AB18</f>
        <v>5.67</v>
      </c>
      <c r="AD18" s="248" t="s">
        <v>163</v>
      </c>
    </row>
    <row r="19" spans="1:30" ht="25.5">
      <c r="A19" s="244">
        <v>16</v>
      </c>
      <c r="B19" s="245" t="s">
        <v>164</v>
      </c>
      <c r="C19" s="246">
        <v>27.22</v>
      </c>
      <c r="D19" s="246">
        <v>21.86</v>
      </c>
      <c r="E19" s="246">
        <v>2.8</v>
      </c>
      <c r="F19" s="246">
        <v>1.1000000000000001</v>
      </c>
      <c r="G19" s="246">
        <f>D19*F19-T19</f>
        <v>21.536000000000001</v>
      </c>
      <c r="H19" s="246">
        <f t="shared" si="9"/>
        <v>21.536000000000001</v>
      </c>
      <c r="I19" s="246">
        <f t="shared" si="9"/>
        <v>21.536000000000001</v>
      </c>
      <c r="J19" s="246">
        <f>I19</f>
        <v>21.536000000000001</v>
      </c>
      <c r="K19" s="246">
        <f>D19*(E19-F19)-N19</f>
        <v>15.301999999999992</v>
      </c>
      <c r="L19" s="246">
        <f t="shared" si="6"/>
        <v>27.22</v>
      </c>
      <c r="M19" s="246">
        <f t="shared" si="7"/>
        <v>27.22</v>
      </c>
      <c r="N19" s="246">
        <f t="shared" si="8"/>
        <v>21.86</v>
      </c>
      <c r="O19" s="246"/>
      <c r="P19" s="246"/>
      <c r="Q19" s="246"/>
      <c r="R19" s="246"/>
      <c r="S19" s="246"/>
      <c r="T19" s="246">
        <f>0.8*1.1*2+2.5*0.2+2.5*0.1</f>
        <v>2.5100000000000002</v>
      </c>
      <c r="U19" s="246">
        <f>0.8*2.1*2+2.5*1.5+2.5*1.2-T19</f>
        <v>7.6</v>
      </c>
      <c r="V19" s="279"/>
      <c r="W19" s="264"/>
      <c r="X19" s="3"/>
      <c r="Y19" s="3"/>
      <c r="Z19" s="247">
        <v>0.7</v>
      </c>
      <c r="AA19" s="247">
        <v>2.1</v>
      </c>
      <c r="AB19" s="247">
        <v>6</v>
      </c>
      <c r="AC19" s="247">
        <f>Z19*AA19*AB19</f>
        <v>8.82</v>
      </c>
      <c r="AD19" s="248" t="s">
        <v>163</v>
      </c>
    </row>
    <row r="20" spans="1:30">
      <c r="A20" s="244">
        <v>17</v>
      </c>
      <c r="B20" s="245" t="s">
        <v>165</v>
      </c>
      <c r="C20" s="246"/>
      <c r="D20" s="246"/>
      <c r="E20" s="246"/>
      <c r="F20" s="246"/>
      <c r="G20" s="246"/>
      <c r="H20" s="246"/>
      <c r="I20" s="246"/>
      <c r="J20" s="246"/>
      <c r="K20" s="246"/>
      <c r="L20" s="246"/>
      <c r="M20" s="246"/>
      <c r="N20" s="246"/>
      <c r="O20" s="246"/>
      <c r="P20" s="246"/>
      <c r="Q20" s="246"/>
      <c r="R20" s="246">
        <v>5.67</v>
      </c>
      <c r="S20" s="246">
        <v>15.83</v>
      </c>
      <c r="T20" s="246"/>
      <c r="U20" s="246"/>
      <c r="V20" s="279"/>
      <c r="W20" s="264"/>
      <c r="X20" s="3"/>
      <c r="Y20" s="3"/>
      <c r="Z20" s="270"/>
      <c r="AA20" s="270"/>
      <c r="AB20" s="270"/>
      <c r="AC20" s="270"/>
    </row>
    <row r="21" spans="1:30" ht="25.5">
      <c r="A21" s="244">
        <v>18</v>
      </c>
      <c r="B21" s="245" t="s">
        <v>166</v>
      </c>
      <c r="C21" s="246">
        <v>0.52</v>
      </c>
      <c r="D21" s="246">
        <v>2.9</v>
      </c>
      <c r="E21" s="246">
        <v>0.6</v>
      </c>
      <c r="F21" s="246"/>
      <c r="G21" s="246"/>
      <c r="H21" s="246">
        <f>O21*2</f>
        <v>1.92</v>
      </c>
      <c r="I21" s="246">
        <f>H21</f>
        <v>1.92</v>
      </c>
      <c r="J21" s="246">
        <f>I21</f>
        <v>1.92</v>
      </c>
      <c r="K21" s="246"/>
      <c r="L21" s="246"/>
      <c r="M21" s="246"/>
      <c r="N21" s="246"/>
      <c r="O21" s="246">
        <f>1.6*0.6</f>
        <v>0.96</v>
      </c>
      <c r="P21" s="246"/>
      <c r="Q21" s="246"/>
      <c r="R21" s="246"/>
      <c r="S21" s="246"/>
      <c r="T21" s="246"/>
      <c r="U21" s="246"/>
      <c r="V21" s="279"/>
      <c r="W21" s="264"/>
      <c r="X21" s="3"/>
      <c r="Y21" s="3"/>
      <c r="Z21" s="254"/>
      <c r="AA21" s="280"/>
      <c r="AB21" s="280"/>
      <c r="AC21" s="280"/>
    </row>
    <row r="22" spans="1:30" s="257" customFormat="1">
      <c r="A22" s="373" t="s">
        <v>167</v>
      </c>
      <c r="B22" s="373"/>
      <c r="C22" s="373"/>
      <c r="D22" s="373"/>
      <c r="E22" s="373"/>
      <c r="F22" s="373"/>
      <c r="G22" s="290">
        <f>SUM(G4:G21)</f>
        <v>221.86500000000001</v>
      </c>
      <c r="H22" s="290">
        <f t="shared" ref="H22:S22" si="10">SUM(H4:H21)</f>
        <v>223.785</v>
      </c>
      <c r="I22" s="290">
        <f t="shared" si="10"/>
        <v>223.785</v>
      </c>
      <c r="J22" s="290">
        <f t="shared" si="10"/>
        <v>223.785</v>
      </c>
      <c r="K22" s="290">
        <f t="shared" si="10"/>
        <v>406.95600000000002</v>
      </c>
      <c r="L22" s="290">
        <f t="shared" si="10"/>
        <v>292.88</v>
      </c>
      <c r="M22" s="290">
        <f t="shared" si="10"/>
        <v>292.88</v>
      </c>
      <c r="N22" s="290">
        <f t="shared" si="10"/>
        <v>251.27999999999997</v>
      </c>
      <c r="O22" s="290">
        <f t="shared" si="10"/>
        <v>2.64</v>
      </c>
      <c r="P22" s="290">
        <f t="shared" si="10"/>
        <v>0</v>
      </c>
      <c r="Q22" s="290">
        <f t="shared" si="10"/>
        <v>0</v>
      </c>
      <c r="R22" s="290">
        <f t="shared" si="10"/>
        <v>5.67</v>
      </c>
      <c r="S22" s="290">
        <f t="shared" si="10"/>
        <v>15.83</v>
      </c>
      <c r="T22" s="291"/>
      <c r="U22" s="291"/>
      <c r="V22" s="281"/>
      <c r="W22" s="265"/>
      <c r="X22" s="4"/>
      <c r="Y22" s="4"/>
      <c r="Z22" s="255"/>
      <c r="AA22" s="255"/>
      <c r="AB22" s="255"/>
      <c r="AC22" s="255"/>
      <c r="AD22" s="256"/>
    </row>
    <row r="23" spans="1:30">
      <c r="A23" s="258" t="s">
        <v>168</v>
      </c>
      <c r="B23" s="259" t="s">
        <v>169</v>
      </c>
      <c r="C23" s="282"/>
      <c r="D23" s="283">
        <v>83.59</v>
      </c>
      <c r="E23" s="246">
        <v>3.3</v>
      </c>
      <c r="F23" s="246">
        <v>1.1000000000000001</v>
      </c>
      <c r="G23" s="246">
        <f>20.47*F23-T23</f>
        <v>19.788999999999998</v>
      </c>
      <c r="H23" s="246">
        <f>G23</f>
        <v>19.788999999999998</v>
      </c>
      <c r="I23" s="246">
        <f>H23</f>
        <v>19.788999999999998</v>
      </c>
      <c r="J23" s="246">
        <f>I23</f>
        <v>19.788999999999998</v>
      </c>
      <c r="K23" s="246">
        <f>D23*(E23-F23)-U23</f>
        <v>147.49299999999999</v>
      </c>
      <c r="L23" s="246"/>
      <c r="M23" s="246"/>
      <c r="N23" s="246"/>
      <c r="O23" s="246"/>
      <c r="P23" s="246">
        <v>141.97999999999999</v>
      </c>
      <c r="Q23" s="246">
        <v>141.97999999999999</v>
      </c>
      <c r="R23" s="246"/>
      <c r="S23" s="246"/>
      <c r="T23" s="246">
        <f>0.8*1.1+1.68*1.1</f>
        <v>2.7280000000000002</v>
      </c>
      <c r="U23" s="246">
        <f>1.5*1.2+2*1.2*5+0.5*0.55*5+1.5*1+2*1.5*2+2.5*1.5*3+0.8*2.1+1.68*2.1-T23</f>
        <v>36.404999999999994</v>
      </c>
      <c r="V23" s="279"/>
      <c r="X23" s="3"/>
      <c r="AA23" s="255"/>
      <c r="AB23" s="255"/>
      <c r="AC23" s="255"/>
      <c r="AD23" s="256"/>
    </row>
    <row r="24" spans="1:30">
      <c r="A24" s="258" t="s">
        <v>168</v>
      </c>
      <c r="B24" s="259" t="s">
        <v>170</v>
      </c>
      <c r="C24" s="282"/>
      <c r="D24" s="283">
        <v>18.23</v>
      </c>
      <c r="E24" s="246">
        <v>1.28</v>
      </c>
      <c r="F24" s="246"/>
      <c r="G24" s="246"/>
      <c r="H24" s="246"/>
      <c r="I24" s="246"/>
      <c r="J24" s="246"/>
      <c r="K24" s="246">
        <f>D24*E24</f>
        <v>23.334400000000002</v>
      </c>
      <c r="L24" s="246"/>
      <c r="M24" s="246"/>
      <c r="N24" s="246"/>
      <c r="O24" s="246"/>
      <c r="P24" s="246"/>
      <c r="Q24" s="246"/>
      <c r="R24" s="246"/>
      <c r="S24" s="246"/>
      <c r="T24" s="246"/>
      <c r="U24" s="246"/>
      <c r="V24" s="279"/>
      <c r="X24" s="3"/>
      <c r="AA24" s="255"/>
      <c r="AB24" s="255"/>
      <c r="AC24" s="255"/>
      <c r="AD24" s="256"/>
    </row>
    <row r="25" spans="1:30" s="257" customFormat="1">
      <c r="A25" s="374" t="s">
        <v>167</v>
      </c>
      <c r="B25" s="374"/>
      <c r="C25" s="374"/>
      <c r="D25" s="374"/>
      <c r="E25" s="374"/>
      <c r="F25" s="374"/>
      <c r="G25" s="291">
        <f>SUM(G23:G24)</f>
        <v>19.788999999999998</v>
      </c>
      <c r="H25" s="291">
        <f>SUM(H23:H24)</f>
        <v>19.788999999999998</v>
      </c>
      <c r="I25" s="291">
        <f>SUM(I23:I24)</f>
        <v>19.788999999999998</v>
      </c>
      <c r="J25" s="291">
        <f>SUM(J23:J24)</f>
        <v>19.788999999999998</v>
      </c>
      <c r="K25" s="291">
        <f>SUM(K23:K24)</f>
        <v>170.82740000000001</v>
      </c>
      <c r="L25" s="291"/>
      <c r="M25" s="291"/>
      <c r="N25" s="291"/>
      <c r="O25" s="291"/>
      <c r="P25" s="291">
        <f>SUM(P23:P24)</f>
        <v>141.97999999999999</v>
      </c>
      <c r="Q25" s="291">
        <f>SUM(Q23:Q24)</f>
        <v>141.97999999999999</v>
      </c>
      <c r="R25" s="291"/>
      <c r="S25" s="291"/>
      <c r="T25" s="291"/>
      <c r="U25" s="291"/>
      <c r="V25" s="265"/>
      <c r="X25" s="262"/>
      <c r="AA25" s="255"/>
      <c r="AB25" s="255"/>
      <c r="AC25" s="255"/>
      <c r="AD25" s="256"/>
    </row>
    <row r="26" spans="1:30">
      <c r="B26" s="266"/>
      <c r="T26" s="255"/>
      <c r="U26" s="255"/>
      <c r="Z26" s="330" t="s">
        <v>70</v>
      </c>
      <c r="AA26" s="255"/>
      <c r="AB26" s="255"/>
      <c r="AC26" s="255"/>
      <c r="AD26" s="256"/>
    </row>
    <row r="27" spans="1:30">
      <c r="A27" s="270"/>
      <c r="B27" s="266"/>
      <c r="X27" s="3"/>
      <c r="Y27" s="3"/>
      <c r="Z27" s="330" t="s">
        <v>71</v>
      </c>
      <c r="AA27" s="255"/>
      <c r="AB27" s="255"/>
      <c r="AC27" s="255"/>
      <c r="AD27" s="256"/>
    </row>
    <row r="28" spans="1:30">
      <c r="A28" s="270"/>
      <c r="B28" s="266"/>
      <c r="T28" s="280"/>
      <c r="U28" s="280"/>
      <c r="X28" s="3"/>
      <c r="Y28" s="3"/>
      <c r="Z28" s="330" t="s">
        <v>72</v>
      </c>
      <c r="AA28" s="255"/>
      <c r="AB28" s="255"/>
      <c r="AC28" s="255"/>
      <c r="AD28" s="256"/>
    </row>
    <row r="29" spans="1:30">
      <c r="A29" s="270"/>
      <c r="B29" s="266"/>
      <c r="T29" s="280"/>
      <c r="U29" s="280"/>
      <c r="X29" s="3"/>
      <c r="Y29" s="3"/>
    </row>
    <row r="30" spans="1:30">
      <c r="A30" s="270"/>
      <c r="B30" s="266"/>
      <c r="X30" s="3"/>
      <c r="Y30" s="3"/>
    </row>
    <row r="31" spans="1:30">
      <c r="A31" s="270"/>
      <c r="B31" s="266"/>
      <c r="T31" s="280"/>
      <c r="U31" s="280"/>
      <c r="X31" s="3"/>
      <c r="Y31" s="3"/>
      <c r="Z31" s="255"/>
      <c r="AA31" s="255"/>
      <c r="AB31" s="255"/>
      <c r="AC31" s="255"/>
      <c r="AD31" s="256"/>
    </row>
    <row r="32" spans="1:30">
      <c r="A32" s="270"/>
      <c r="B32" s="266"/>
      <c r="T32" s="280"/>
      <c r="U32" s="280"/>
      <c r="X32" s="3"/>
      <c r="Y32" s="3"/>
    </row>
    <row r="33" spans="1:30">
      <c r="A33" s="270"/>
      <c r="B33" s="266"/>
      <c r="T33" s="280"/>
      <c r="U33" s="280"/>
      <c r="X33" s="3"/>
      <c r="Y33" s="3"/>
    </row>
    <row r="34" spans="1:30">
      <c r="A34" s="270"/>
      <c r="B34" s="266"/>
      <c r="T34" s="280"/>
      <c r="U34" s="280"/>
      <c r="X34" s="3"/>
      <c r="Y34" s="3"/>
    </row>
    <row r="35" spans="1:30">
      <c r="A35" s="270"/>
      <c r="B35" s="266"/>
      <c r="T35" s="280"/>
      <c r="U35" s="280"/>
      <c r="X35" s="3"/>
      <c r="Y35" s="3"/>
    </row>
    <row r="36" spans="1:30">
      <c r="A36" s="270"/>
      <c r="B36" s="266"/>
      <c r="T36" s="280"/>
      <c r="U36" s="280"/>
      <c r="X36" s="3"/>
      <c r="Y36" s="3"/>
    </row>
    <row r="37" spans="1:30">
      <c r="B37" s="266"/>
    </row>
    <row r="38" spans="1:30">
      <c r="B38" s="266"/>
    </row>
    <row r="39" spans="1:30">
      <c r="B39" s="266"/>
      <c r="X39" s="3"/>
      <c r="Y39" s="3"/>
    </row>
    <row r="40" spans="1:30">
      <c r="B40" s="266"/>
    </row>
    <row r="41" spans="1:30">
      <c r="B41" s="256"/>
    </row>
    <row r="42" spans="1:30">
      <c r="B42" s="266"/>
      <c r="T42" s="255"/>
      <c r="U42" s="255"/>
    </row>
    <row r="43" spans="1:30">
      <c r="B43" s="266"/>
      <c r="T43" s="255"/>
      <c r="U43" s="255"/>
      <c r="Z43" s="255"/>
      <c r="AA43" s="255"/>
      <c r="AB43" s="255"/>
      <c r="AC43" s="255"/>
      <c r="AD43" s="256"/>
    </row>
    <row r="44" spans="1:30">
      <c r="B44" s="266"/>
      <c r="Z44" s="255"/>
      <c r="AA44" s="255"/>
      <c r="AB44" s="255"/>
      <c r="AC44" s="255"/>
      <c r="AD44" s="256"/>
    </row>
    <row r="45" spans="1:30">
      <c r="B45" s="266"/>
      <c r="Z45" s="255"/>
      <c r="AA45" s="255"/>
      <c r="AB45" s="255"/>
      <c r="AC45" s="255"/>
      <c r="AD45" s="256"/>
    </row>
    <row r="46" spans="1:30">
      <c r="B46" s="266"/>
    </row>
    <row r="47" spans="1:30">
      <c r="B47" s="266"/>
    </row>
    <row r="48" spans="1:30">
      <c r="B48" s="266"/>
    </row>
    <row r="49" spans="1:25">
      <c r="B49" s="266"/>
    </row>
    <row r="50" spans="1:25">
      <c r="B50" s="266"/>
    </row>
    <row r="51" spans="1:25">
      <c r="A51" s="375"/>
      <c r="B51" s="376"/>
      <c r="X51" s="3"/>
      <c r="Y51" s="3"/>
    </row>
    <row r="52" spans="1:25">
      <c r="A52" s="375"/>
      <c r="B52" s="376"/>
      <c r="C52" s="367"/>
      <c r="D52" s="367"/>
      <c r="E52" s="367"/>
      <c r="F52" s="367"/>
      <c r="G52" s="367"/>
      <c r="H52" s="367"/>
      <c r="I52" s="367"/>
      <c r="J52" s="367"/>
      <c r="K52" s="367"/>
      <c r="L52" s="367"/>
      <c r="M52" s="280"/>
      <c r="N52" s="280"/>
      <c r="O52" s="280"/>
      <c r="P52" s="280"/>
      <c r="Q52" s="280"/>
      <c r="R52" s="280"/>
      <c r="S52" s="280"/>
      <c r="T52" s="280"/>
      <c r="U52" s="280"/>
      <c r="X52" s="3"/>
      <c r="Y52" s="3"/>
    </row>
    <row r="53" spans="1:25">
      <c r="B53" s="266"/>
      <c r="X53" s="3"/>
      <c r="Y53" s="3"/>
    </row>
    <row r="54" spans="1:25">
      <c r="B54" s="266"/>
    </row>
    <row r="55" spans="1:25">
      <c r="B55" s="266"/>
    </row>
    <row r="56" spans="1:25">
      <c r="B56" s="266"/>
    </row>
    <row r="57" spans="1:25">
      <c r="B57" s="266"/>
    </row>
    <row r="58" spans="1:25">
      <c r="B58" s="266"/>
    </row>
    <row r="59" spans="1:25">
      <c r="B59" s="266"/>
    </row>
    <row r="60" spans="1:25">
      <c r="B60" s="266"/>
    </row>
    <row r="61" spans="1:25">
      <c r="B61" s="266"/>
    </row>
    <row r="62" spans="1:25">
      <c r="B62" s="266"/>
    </row>
    <row r="63" spans="1:25">
      <c r="B63" s="266"/>
    </row>
    <row r="64" spans="1:25">
      <c r="B64" s="266"/>
    </row>
    <row r="65" spans="1:30">
      <c r="B65" s="266"/>
    </row>
    <row r="66" spans="1:30">
      <c r="B66" s="266"/>
    </row>
    <row r="67" spans="1:30">
      <c r="B67" s="266"/>
    </row>
    <row r="68" spans="1:30">
      <c r="B68" s="266"/>
      <c r="Z68" s="255"/>
      <c r="AA68" s="255"/>
      <c r="AB68" s="255"/>
      <c r="AC68" s="255"/>
      <c r="AD68" s="256"/>
    </row>
    <row r="69" spans="1:30">
      <c r="B69" s="266"/>
      <c r="Z69" s="255"/>
      <c r="AA69" s="255"/>
      <c r="AB69" s="255"/>
      <c r="AC69" s="255"/>
      <c r="AD69" s="256"/>
    </row>
    <row r="70" spans="1:30">
      <c r="B70" s="266"/>
    </row>
    <row r="71" spans="1:30">
      <c r="B71" s="266"/>
    </row>
    <row r="72" spans="1:30">
      <c r="B72" s="266"/>
    </row>
    <row r="73" spans="1:30">
      <c r="B73" s="266"/>
    </row>
    <row r="74" spans="1:30">
      <c r="B74" s="266"/>
    </row>
    <row r="75" spans="1:30">
      <c r="B75" s="266"/>
    </row>
    <row r="76" spans="1:30">
      <c r="B76" s="267"/>
      <c r="W76" s="6"/>
      <c r="X76" s="3"/>
      <c r="Y76" s="3"/>
    </row>
    <row r="77" spans="1:30" s="257" customFormat="1">
      <c r="A77" s="286"/>
      <c r="B77" s="267"/>
      <c r="C77" s="287"/>
      <c r="D77" s="287"/>
      <c r="E77" s="287"/>
      <c r="F77" s="287"/>
      <c r="G77" s="287"/>
      <c r="H77" s="287"/>
      <c r="I77" s="287"/>
      <c r="J77" s="287"/>
      <c r="K77" s="287"/>
      <c r="L77" s="287"/>
      <c r="M77" s="287"/>
      <c r="N77" s="287"/>
      <c r="O77" s="287"/>
      <c r="P77" s="287"/>
      <c r="Q77" s="287"/>
      <c r="R77" s="287"/>
      <c r="S77" s="287"/>
      <c r="T77" s="287"/>
      <c r="U77" s="287"/>
      <c r="V77" s="284"/>
      <c r="W77" s="6"/>
      <c r="X77" s="3"/>
      <c r="Y77" s="3"/>
      <c r="Z77" s="287"/>
      <c r="AA77" s="287"/>
      <c r="AB77" s="287"/>
      <c r="AC77" s="287"/>
      <c r="AD77" s="270"/>
    </row>
    <row r="78" spans="1:30">
      <c r="A78" s="256"/>
      <c r="B78" s="266"/>
      <c r="G78" s="367"/>
      <c r="H78" s="367"/>
      <c r="I78" s="367"/>
      <c r="J78" s="367"/>
      <c r="K78" s="280"/>
    </row>
    <row r="79" spans="1:30">
      <c r="A79" s="256"/>
      <c r="B79" s="266"/>
    </row>
    <row r="80" spans="1:30">
      <c r="A80" s="256"/>
      <c r="B80" s="266"/>
    </row>
    <row r="81" spans="1:2">
      <c r="A81" s="256"/>
      <c r="B81" s="266"/>
    </row>
    <row r="82" spans="1:2">
      <c r="A82" s="256"/>
      <c r="B82" s="266"/>
    </row>
  </sheetData>
  <mergeCells count="10">
    <mergeCell ref="G78:J78"/>
    <mergeCell ref="Z2:AD2"/>
    <mergeCell ref="A1:U1"/>
    <mergeCell ref="V1:AD1"/>
    <mergeCell ref="V2:X2"/>
    <mergeCell ref="A22:F22"/>
    <mergeCell ref="A25:F25"/>
    <mergeCell ref="A51:A52"/>
    <mergeCell ref="B51:B52"/>
    <mergeCell ref="C52:L52"/>
  </mergeCells>
  <pageMargins left="0.39370078740157483" right="0.39370078740157483" top="0.39370078740157483" bottom="0.39370078740157483" header="0.31496062992125984" footer="0.31496062992125984"/>
  <pageSetup paperSize="9" scale="94" orientation="landscape" r:id="rId1"/>
  <headerFooter>
    <oddFooter>Página &amp;P de &amp;N</oddFooter>
  </headerFooter>
  <colBreaks count="1" manualBreakCount="1">
    <brk id="21" max="2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12</vt:i4>
      </vt:variant>
    </vt:vector>
  </HeadingPairs>
  <TitlesOfParts>
    <vt:vector size="19" baseType="lpstr">
      <vt:lpstr>BDI</vt:lpstr>
      <vt:lpstr>PLANILHA ORÇAMENTÁRIA</vt:lpstr>
      <vt:lpstr>QUANTITATIVOS</vt:lpstr>
      <vt:lpstr>CRONOGRAMA</vt:lpstr>
      <vt:lpstr>COMPOSIÇÕES DIFERENCIADAS</vt:lpstr>
      <vt:lpstr>MEMORIAL DESCRITIVO</vt:lpstr>
      <vt:lpstr>tabela auxiliar</vt:lpstr>
      <vt:lpstr>BDI!Area_de_impressao</vt:lpstr>
      <vt:lpstr>'COMPOSIÇÕES DIFERENCIADAS'!Area_de_impressao</vt:lpstr>
      <vt:lpstr>CRONOGRAMA!Area_de_impressao</vt:lpstr>
      <vt:lpstr>'MEMORIAL DESCRITIVO'!Area_de_impressao</vt:lpstr>
      <vt:lpstr>'PLANILHA ORÇAMENTÁRIA'!Area_de_impressao</vt:lpstr>
      <vt:lpstr>QUANTITATIVOS!Area_de_impressao</vt:lpstr>
      <vt:lpstr>'tabela auxiliar'!Area_de_impressao</vt:lpstr>
      <vt:lpstr>'COMPOSIÇÕES DIFERENCIADAS'!Titulos_de_impressao</vt:lpstr>
      <vt:lpstr>CRONOGRAMA!Titulos_de_impressao</vt:lpstr>
      <vt:lpstr>'MEMORIAL DESCRITIVO'!Titulos_de_impressao</vt:lpstr>
      <vt:lpstr>'PLANILHA ORÇAMENTÁRIA'!Titulos_de_impressao</vt:lpstr>
      <vt:lpstr>QUANTITATIVOS!Titulos_de_impressao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2024-09-11T13:21:12Z</dcterms:modified>
</cp:coreProperties>
</file>