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LICI~1\AppData\Local\Temp\Rar$DIa8472.7348\"/>
    </mc:Choice>
  </mc:AlternateContent>
  <xr:revisionPtr revIDLastSave="0" documentId="13_ncr:1_{CB71B750-11FC-4DA8-9617-7A7B4134E67F}" xr6:coauthVersionLast="47" xr6:coauthVersionMax="47" xr10:uidLastSave="{00000000-0000-0000-0000-000000000000}"/>
  <bookViews>
    <workbookView xWindow="-120" yWindow="-120" windowWidth="21840" windowHeight="13140" activeTab="3" xr2:uid="{00000000-000D-0000-FFFF-FFFF00000000}"/>
  </bookViews>
  <sheets>
    <sheet name="MEMÓRIAL DE CÁLCULO" sheetId="9" r:id="rId1"/>
    <sheet name="PLANILHA ORÇAMENTÁRIA" sheetId="5" r:id="rId2"/>
    <sheet name="BDI" sheetId="6" r:id="rId3"/>
    <sheet name="CRONOGRAMA FÍSICO-FINANCEIRO" sheetId="7" r:id="rId4"/>
  </sheets>
  <definedNames>
    <definedName name="_xlnm.Print_Area" localSheetId="2">BDI!$A$1:$D$33</definedName>
    <definedName name="_xlnm.Print_Area" localSheetId="3">'CRONOGRAMA FÍSICO-FINANCEIRO'!$A$1:$O$25</definedName>
    <definedName name="_xlnm.Print_Area" localSheetId="0">'MEMÓRIAL DE CÁLCULO'!$A$1:$I$30</definedName>
    <definedName name="_xlnm.Print_Area" localSheetId="1">'PLANILHA ORÇAMENTÁRIA'!$A$1:$I$32</definedName>
  </definedNames>
  <calcPr calcId="181029"/>
</workbook>
</file>

<file path=xl/calcChain.xml><?xml version="1.0" encoding="utf-8"?>
<calcChain xmlns="http://schemas.openxmlformats.org/spreadsheetml/2006/main">
  <c r="F20" i="9" l="1"/>
  <c r="F21" i="9" l="1"/>
  <c r="F18" i="9"/>
  <c r="F13" i="9"/>
  <c r="O17" i="9"/>
  <c r="O16" i="9"/>
  <c r="N16" i="9"/>
  <c r="N17" i="9" s="1"/>
  <c r="M17" i="9"/>
  <c r="M16" i="9"/>
  <c r="L16" i="9"/>
  <c r="L17" i="9" s="1"/>
  <c r="K17" i="9"/>
  <c r="K16" i="9"/>
  <c r="P16" i="9"/>
  <c r="P17" i="9" s="1"/>
  <c r="P14" i="9"/>
  <c r="P15" i="9" s="1"/>
  <c r="P12" i="5" l="1"/>
  <c r="P17" i="5"/>
  <c r="P19" i="5"/>
  <c r="Q18" i="9"/>
  <c r="R18" i="9" s="1"/>
  <c r="F11" i="9"/>
  <c r="P22" i="5"/>
  <c r="K12" i="5" l="1"/>
  <c r="K17" i="5"/>
  <c r="K19" i="5"/>
  <c r="A11" i="5"/>
  <c r="B11" i="5"/>
  <c r="C11" i="5"/>
  <c r="D11" i="5"/>
  <c r="E11" i="5"/>
  <c r="F11" i="5" l="1"/>
  <c r="A15" i="5"/>
  <c r="B15" i="5"/>
  <c r="C15" i="5"/>
  <c r="D15" i="5"/>
  <c r="E15" i="5"/>
  <c r="Q17" i="9" l="1"/>
  <c r="Q16" i="9"/>
  <c r="E20" i="5" l="1"/>
  <c r="D20" i="5"/>
  <c r="C20" i="5"/>
  <c r="B20" i="5"/>
  <c r="A20" i="5"/>
  <c r="R17" i="9"/>
  <c r="R16" i="9"/>
  <c r="F14" i="9"/>
  <c r="F15" i="9" s="1"/>
  <c r="Q13" i="9"/>
  <c r="K14" i="9"/>
  <c r="K15" i="9" s="1"/>
  <c r="L14" i="9"/>
  <c r="L15" i="9" s="1"/>
  <c r="M14" i="9"/>
  <c r="M15" i="9" s="1"/>
  <c r="N14" i="9"/>
  <c r="N15" i="9" s="1"/>
  <c r="O14" i="9"/>
  <c r="O15" i="9" s="1"/>
  <c r="G4" i="5"/>
  <c r="O22" i="5"/>
  <c r="O12" i="5"/>
  <c r="O17" i="5"/>
  <c r="O19" i="5"/>
  <c r="I4" i="9"/>
  <c r="H4" i="5" s="1"/>
  <c r="O11" i="7"/>
  <c r="O12" i="7"/>
  <c r="O13" i="7"/>
  <c r="O10" i="7"/>
  <c r="E13" i="5"/>
  <c r="D13" i="5"/>
  <c r="C13" i="5"/>
  <c r="B13" i="5"/>
  <c r="A13" i="5"/>
  <c r="D17" i="5"/>
  <c r="B12" i="7" s="1"/>
  <c r="A17" i="5"/>
  <c r="A12" i="7" s="1"/>
  <c r="E18" i="5"/>
  <c r="D18" i="5"/>
  <c r="C18" i="5"/>
  <c r="B18" i="5"/>
  <c r="A18" i="5"/>
  <c r="F15" i="5" l="1"/>
  <c r="F16" i="9"/>
  <c r="F20" i="5"/>
  <c r="R13" i="9"/>
  <c r="F18" i="5"/>
  <c r="F13" i="5"/>
  <c r="Q14" i="9"/>
  <c r="O20" i="5" l="1"/>
  <c r="O18" i="5"/>
  <c r="R14" i="9"/>
  <c r="Q15" i="9"/>
  <c r="R15" i="9" s="1"/>
  <c r="O13" i="5"/>
  <c r="E14" i="5" l="1"/>
  <c r="D14" i="5"/>
  <c r="C14" i="5"/>
  <c r="B14" i="5"/>
  <c r="A14" i="5"/>
  <c r="F21" i="5" l="1"/>
  <c r="F10" i="9"/>
  <c r="D22" i="6"/>
  <c r="E21" i="5"/>
  <c r="D21" i="5"/>
  <c r="C21" i="5"/>
  <c r="B21" i="5"/>
  <c r="A21" i="5"/>
  <c r="B16" i="5"/>
  <c r="C16" i="5"/>
  <c r="D16" i="5"/>
  <c r="E16" i="5"/>
  <c r="A16" i="5"/>
  <c r="O21" i="5" l="1"/>
  <c r="F14" i="5"/>
  <c r="F16" i="5"/>
  <c r="O16" i="5" l="1"/>
  <c r="O14" i="5"/>
  <c r="O3" i="7"/>
  <c r="A3" i="5"/>
  <c r="A4" i="5"/>
  <c r="N3" i="7" l="1"/>
  <c r="F10" i="5" l="1"/>
  <c r="A10" i="5"/>
  <c r="B10" i="5"/>
  <c r="C10" i="5"/>
  <c r="D10" i="5"/>
  <c r="E10" i="5"/>
  <c r="A12" i="5"/>
  <c r="B12" i="5"/>
  <c r="C12" i="5"/>
  <c r="D12" i="5"/>
  <c r="E12" i="5"/>
  <c r="A19" i="5"/>
  <c r="A13" i="7" s="1"/>
  <c r="B19" i="5"/>
  <c r="C19" i="5"/>
  <c r="D19" i="5"/>
  <c r="B13" i="7" s="1"/>
  <c r="E19" i="5"/>
  <c r="B9" i="5"/>
  <c r="C9" i="5"/>
  <c r="D9" i="5"/>
  <c r="E9" i="5"/>
  <c r="A9" i="5"/>
  <c r="B8" i="5"/>
  <c r="C8" i="5"/>
  <c r="D8" i="5"/>
  <c r="E8" i="5"/>
  <c r="F8" i="5"/>
  <c r="A8" i="5"/>
  <c r="H7" i="5"/>
  <c r="I6" i="5"/>
  <c r="H6" i="5"/>
  <c r="G6" i="5"/>
  <c r="F6" i="5"/>
  <c r="F5" i="5"/>
  <c r="A5" i="5"/>
  <c r="O10" i="5" l="1"/>
  <c r="O24" i="5" s="1"/>
  <c r="A7" i="6"/>
  <c r="A4" i="7"/>
  <c r="A6" i="5"/>
  <c r="A7" i="5"/>
  <c r="M23" i="9" l="1"/>
  <c r="B11" i="7" l="1"/>
  <c r="A11" i="7"/>
  <c r="A10" i="7"/>
  <c r="L24" i="5" l="1"/>
  <c r="A8" i="6" l="1"/>
  <c r="L23" i="5" l="1"/>
  <c r="L25" i="5"/>
  <c r="L26" i="5"/>
  <c r="L27" i="5"/>
  <c r="L28" i="5"/>
  <c r="L29" i="5"/>
  <c r="L30" i="5"/>
  <c r="L31" i="5"/>
  <c r="L32" i="5"/>
  <c r="B10" i="7"/>
  <c r="A6" i="7"/>
  <c r="A5" i="7"/>
  <c r="A3" i="7"/>
  <c r="A2" i="7"/>
  <c r="A6" i="6"/>
  <c r="A5" i="6"/>
  <c r="I7" i="9" l="1"/>
  <c r="I7" i="5" l="1"/>
  <c r="H21" i="5" l="1"/>
  <c r="H15" i="5"/>
  <c r="H10" i="5"/>
  <c r="I10" i="5" s="1"/>
  <c r="H20" i="5"/>
  <c r="H16" i="5"/>
  <c r="H18" i="5"/>
  <c r="H13" i="5"/>
  <c r="H14" i="5"/>
  <c r="H11" i="5"/>
  <c r="K15" i="5"/>
  <c r="K13" i="5"/>
  <c r="P11" i="5" l="1"/>
  <c r="I11" i="5"/>
  <c r="P14" i="5"/>
  <c r="I14" i="5"/>
  <c r="P16" i="5"/>
  <c r="I16" i="5"/>
  <c r="P18" i="5"/>
  <c r="I18" i="5"/>
  <c r="P20" i="5"/>
  <c r="I20" i="5"/>
  <c r="P13" i="5"/>
  <c r="I13" i="5"/>
  <c r="P15" i="5"/>
  <c r="I15" i="5"/>
  <c r="P21" i="5"/>
  <c r="I21" i="5"/>
  <c r="P10" i="5"/>
  <c r="K10" i="5"/>
  <c r="K16" i="5"/>
  <c r="K14" i="5"/>
  <c r="K21" i="5"/>
  <c r="K11" i="5"/>
  <c r="K20" i="5"/>
  <c r="I17" i="5"/>
  <c r="K18" i="5"/>
  <c r="I12" i="5" l="1"/>
  <c r="I19" i="5"/>
  <c r="I9" i="5"/>
  <c r="D12" i="7"/>
  <c r="L12" i="7" s="1"/>
  <c r="K23" i="5"/>
  <c r="P23" i="5"/>
  <c r="I22" i="5" l="1"/>
  <c r="P24" i="5" s="1"/>
  <c r="D10" i="7"/>
  <c r="F10" i="7" s="1"/>
  <c r="N10" i="7" s="1"/>
  <c r="D13" i="7"/>
  <c r="L13" i="7" s="1"/>
  <c r="L15" i="7" s="1"/>
  <c r="D11" i="7"/>
  <c r="F11" i="7" s="1"/>
  <c r="N11" i="7" s="1"/>
  <c r="K24" i="5" l="1"/>
  <c r="J13" i="7"/>
  <c r="N13" i="7" s="1"/>
  <c r="D16" i="7"/>
  <c r="D15" i="7"/>
  <c r="J12" i="7"/>
  <c r="H12" i="7"/>
  <c r="H15" i="7" s="1"/>
  <c r="F12" i="7"/>
  <c r="J15" i="7" l="1"/>
  <c r="K15" i="7" s="1"/>
  <c r="E13" i="7"/>
  <c r="M15" i="7"/>
  <c r="F15" i="7"/>
  <c r="F16" i="7" s="1"/>
  <c r="H16" i="7" s="1"/>
  <c r="N12" i="7"/>
  <c r="N15" i="7" s="1"/>
  <c r="O15" i="7" s="1"/>
  <c r="E10" i="7"/>
  <c r="I15" i="7"/>
  <c r="E12" i="7"/>
  <c r="E11" i="7"/>
  <c r="J16" i="7" l="1"/>
  <c r="L16" i="7" s="1"/>
  <c r="G15" i="7"/>
  <c r="G16" i="7" s="1"/>
  <c r="I16" i="7" s="1"/>
  <c r="K16" i="7" s="1"/>
  <c r="M16" i="7" s="1"/>
  <c r="E15" i="7"/>
</calcChain>
</file>

<file path=xl/sharedStrings.xml><?xml version="1.0" encoding="utf-8"?>
<sst xmlns="http://schemas.openxmlformats.org/spreadsheetml/2006/main" count="154" uniqueCount="116">
  <si>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</si>
  <si>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</si>
  <si>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</si>
  <si>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</si>
  <si>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</si>
  <si>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</si>
  <si>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</si>
  <si>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</si>
  <si>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</si>
  <si>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PREÇO TOTAL</t>
  </si>
  <si>
    <t xml:space="preserve">FORMA DE EXECUÇÃO: </t>
  </si>
  <si>
    <t>M2</t>
  </si>
  <si>
    <t>1.1</t>
  </si>
  <si>
    <t>2.1</t>
  </si>
  <si>
    <t>3.1</t>
  </si>
  <si>
    <t>M</t>
  </si>
  <si>
    <t>M3</t>
  </si>
  <si>
    <t>BDI</t>
  </si>
  <si>
    <t>PREÇO UNITÁRIO S/ BDI</t>
  </si>
  <si>
    <t>PREÇO UNITÁRIO C/ BDI</t>
  </si>
  <si>
    <t>___________________________________________________________</t>
  </si>
  <si>
    <t>OBRAS RODOVIARIAS DE ACORDO COM ACÓRDÃO TCU BDI (CONFORME ACÓRDÃO Nº 2622/13 e LEI Nº 13.161 DE 31/08/15)</t>
  </si>
  <si>
    <t>CÁLCULO DA BONIFICAÇÃO E DESPESAS INDIRETAS</t>
  </si>
  <si>
    <t>BDI GERAL</t>
  </si>
  <si>
    <t>TAXAS GERAIS: TG = (1 + (AC + R + (S + G)))*(1 + DF)*(1 + L)</t>
  </si>
  <si>
    <t>SIGLA</t>
  </si>
  <si>
    <t xml:space="preserve">ADMINISTRAÇÃO CENTRAL </t>
  </si>
  <si>
    <t>AC</t>
  </si>
  <si>
    <t>1.2</t>
  </si>
  <si>
    <t xml:space="preserve">RISCOS </t>
  </si>
  <si>
    <t>R</t>
  </si>
  <si>
    <t>1.3</t>
  </si>
  <si>
    <t>SEGUROS+GARANTIAS</t>
  </si>
  <si>
    <t>S+G</t>
  </si>
  <si>
    <t>1.4</t>
  </si>
  <si>
    <t>DF</t>
  </si>
  <si>
    <t>1.5</t>
  </si>
  <si>
    <t>LUCRO</t>
  </si>
  <si>
    <t>L</t>
  </si>
  <si>
    <t>Taxas : T = (i°+i¹+i²+i³)</t>
  </si>
  <si>
    <t>T</t>
  </si>
  <si>
    <t>COFINS</t>
  </si>
  <si>
    <t>i°</t>
  </si>
  <si>
    <t>2.2</t>
  </si>
  <si>
    <t>ISS</t>
  </si>
  <si>
    <t>i¹</t>
  </si>
  <si>
    <t>2.3</t>
  </si>
  <si>
    <t>PIS</t>
  </si>
  <si>
    <t>i²</t>
  </si>
  <si>
    <t>2.4</t>
  </si>
  <si>
    <t>CPRB</t>
  </si>
  <si>
    <t>i³</t>
  </si>
  <si>
    <t>B.D.I. = { [TG / ( 1 - T)] - 1 } x 100</t>
  </si>
  <si>
    <t>CRONOGRAMA FÍSICO-FINANCEIRO</t>
  </si>
  <si>
    <t>VALOR DOS SEVIÇOS</t>
  </si>
  <si>
    <t>Mês 1</t>
  </si>
  <si>
    <t>TOTAL</t>
  </si>
  <si>
    <t>R$</t>
  </si>
  <si>
    <t>%</t>
  </si>
  <si>
    <t>TOTAL ACUMULADO</t>
  </si>
  <si>
    <t>COMPOSIÇÃO DO BDI SEM DESONERAÇÃO</t>
  </si>
  <si>
    <t xml:space="preserve">DESPESAS FINANCEIRAS </t>
  </si>
  <si>
    <t>MEMÓRIA DE CÁLCULO</t>
  </si>
  <si>
    <t>OBRAS COMPLEMENTARES DE PAVIMENTAÇÃO</t>
  </si>
  <si>
    <t>PAVIMENTAÇÃO</t>
  </si>
  <si>
    <t>FORNECIMENTO E INSTALAÇÃO DE PLACA DE OBRA COM CHAPA GALVANIZADA E ESTRUTURA DE MADEIRA. AF_03/2022_PS</t>
  </si>
  <si>
    <t>EXECUÇÃO DE SARJETA DE CONCRETO USINADO, MOLDADA  IN LOCO  EM TRECHO RETO, 45 CM BASE X 10 CM ALTURA. AF_01/2024</t>
  </si>
  <si>
    <t>Mês 2</t>
  </si>
  <si>
    <t>Mês 3</t>
  </si>
  <si>
    <t>(X)</t>
  </si>
  <si>
    <t>FONTE</t>
  </si>
  <si>
    <t>SINAPI</t>
  </si>
  <si>
    <t>DESCRIÇÃO MEMÓRIA DE CÁLCULO</t>
  </si>
  <si>
    <t>DATA:</t>
  </si>
  <si>
    <t>((1,5 m X 3,00 m) = Dimensões da placa da obra)</t>
  </si>
  <si>
    <t>CONSTRUÇÃO DE BASE E SUB-BASE PARA PAVIMENTAÇÃO DE SOLO ESTABILIZADO GRANULOMETRICAMENTE COM MISTURA DE SOLOS EM PISTA - EXCLUSIVE SOLO, ESCAVAÇÃO, CARGA E TRANSPORTE. AF_09/2024</t>
  </si>
  <si>
    <t>REGULARIZAÇÃO E COMPACTAÇÃO DE SUBLEITO DE SOLO PREDOMINANTEMENTE ARGILOSO, PARA OBRAS DE CONSTRUÇÃO DE PAVIMENTOS. AF_09/2024</t>
  </si>
  <si>
    <t>4.1</t>
  </si>
  <si>
    <t>ASSENTAMENTO DE GUIA (MEIO-FIO) EM TRECHO RETO, CONFECCIONADA EM CONCRETO PRÉ-FABRICADO, DIMENSÕES 100X15X13X30 CM (COMPRIMENTO X BASE INFERIOR X BASE SUPERIOR X ALTURA). AF_01/2024</t>
  </si>
  <si>
    <t>PRAZO DE EXECUÇÃO: 04 MESES</t>
  </si>
  <si>
    <t>PREFEITURA: PREFEITURA MUNICIPAL DE FELISBURGO-MG</t>
  </si>
  <si>
    <t>SERVIÇOS PRELIMINARES</t>
  </si>
  <si>
    <t>TERRAPLANAGEM</t>
  </si>
  <si>
    <t>4.2</t>
  </si>
  <si>
    <t xml:space="preserve">PREFEITURA MUNICIPAL DE FELISBURGO
CNPJ 18.083.071/0001-60
</t>
  </si>
  <si>
    <t>OBJETO: PAVIMENTAÇÃO EM BLOCO SEXTAVADO EM VIAS DO PERÍMETRO URBANO NO MUNICÍPIO DE FELISBURGO-MG</t>
  </si>
  <si>
    <t>EXECUÇÃO DE PAVIMENTO EM PISO INTERTRAVADO, COM BLOCO SEXTAVADO DE 25 X 25 CM, ESPESSURA 8 CM. AF_10/2022</t>
  </si>
  <si>
    <t>TOTAL DA OBRA</t>
  </si>
  <si>
    <t>Mês 4</t>
  </si>
  <si>
    <t>RUA RIO BRANCO</t>
  </si>
  <si>
    <t>RUA JOSE CAMPOS</t>
  </si>
  <si>
    <t>RUA MANAUS</t>
  </si>
  <si>
    <t>RUA BELÉM</t>
  </si>
  <si>
    <t>RUA ISNALDO</t>
  </si>
  <si>
    <t>REG</t>
  </si>
  <si>
    <t>BASE</t>
  </si>
  <si>
    <t>SARJETA</t>
  </si>
  <si>
    <t>MEIO FIO</t>
  </si>
  <si>
    <t>TRANSPORTE</t>
  </si>
  <si>
    <t>ESCAVAÇÃO HORIZONTAL, INCLUINDO CARGA E DESCARGA EM SOLO DE 1A CATEGORIA COM TRATOR DE ESTEIRAS (100HP/LÂMINA: 2,19M3). AF_07/2020</t>
  </si>
  <si>
    <t>TRANSPORTE COM CAMINHÃO BASCULANTE DE 18 M³, EM VIA URBANA EM LEITO NATURAL (UNIDADE: M3XKM). AF_07/2020</t>
  </si>
  <si>
    <t>M3XKM</t>
  </si>
  <si>
    <t>LOCAÇÃO TOPOGRÁFICA ACIMA DE CINQUENTA (50) PONTOS REFERENCIAIS, INCLUSIVE ESTACA (PIQUETE) DE MARCAÇÃO</t>
  </si>
  <si>
    <t>UNID</t>
  </si>
  <si>
    <t>ED-50276</t>
  </si>
  <si>
    <t>SICOR-MG</t>
  </si>
  <si>
    <t>RUA TEREZINA</t>
  </si>
  <si>
    <t>(REGIÃO/MÊS DE REFERÊNCIA):  SINAPI-MG 04/2026 NÃO DESONERADO  // SICOR-MG JEQUITINHONHA E MUCURI 01/2026 NÃO DESONERADO</t>
  </si>
  <si>
    <t>LOCAL: RUA RIO BRANCO, RUA JOSÉ CAMPOS, RUA MANAUS, RUA BELÉM E RUA ISNALDO ALVES FERREIRA, BAIRRO CIDADE NOVA; RUA TEREZINA, BAIRRO BELA VISTA, FELISBURGO-MG</t>
  </si>
  <si>
    <t>(379,77 m² RUA RIO BRANCO + 386,30 m² RUA JOSÉ CAMPOS + 385,50 m² RUA MANAUS + 389,37 m² RUA BELÉM + 394,74 m² RUA ISNALDO ALVES FERREIRA + 413,26 m² RUA TEREZINA) = ÁREA TOTAL DAS VIAS</t>
  </si>
  <si>
    <t>(379,77 m² RUA RIO BRANCO + 386,30 m² RUA JOSÉ CAMPOS + 385,50 m² RUA MANAUS + 389,37 m² RUA BELÉM + 394,74 m² RUA ISNALDO ALVES FERREIRA + 413,26 m² RUA TEREZINA) = ÁREA TOTAL DAS VIAS) X 0,10 m ESPESSURA DA BASE DE SOLO</t>
  </si>
  <si>
    <t>(379,77 m² RUA RIO BRANCO + 386,30 m² RUA JOSÉ CAMPOS + 385,50 m² RUA MANAUS + 389,37 m² RUA BELÉM + 394,74 m² RUA ISNALDO ALVES FERREIRA + 413,26 m² RUA TEREZINA) = ÁREA TOTAL DAS VIAS) X 0,10 m ESPESSURA DA BASE DE SOLO X 4,80 KM DISTÂNCIA DA JAZIDA ATÉ AS VIAS</t>
  </si>
  <si>
    <t>(322,64 m² RUA RIO BRANCO + 327,99 m² RUA JOSÉ CAMPOS + 327,34 m² RUA MANAUS + 330,62 m² RUA BELÉM + 335,20 m² RUA ISNALDO ALVES FERREIRA + 360,12 m² RUA TEREZINA) = ÁREA TOTAL DE PAVIMENTAÇÃO DAS VIAS</t>
  </si>
  <si>
    <t>(62,98+2,34+61,28 M COMPRIMENTO TOTAL SARJETAS RUA RIO BRANCO + 2,38+62,14+2,37+61,95 M COMPRIMENTO TOTAL SARJETAS RUA JOSÉ CAMPOS + 2,35+61,83+2,36+61,99 M COMPRIMENTO TOTAL SARJETAS RUA MANAUS + 2,35+62,53+2,36+62,59 M COMPRIMENTO TOTAL SARJETAS RUA BELÉM + 2,34+63,4+2,38+63,51 M COMPRIMENTO TOTAL SARJETAS RUA ISNALDO ALVES FERREIRA + 59,04+59,04 M COMPRIMENTO TOTAL SARJETAS RUA TEREZINA)</t>
  </si>
  <si>
    <t>(62,98+2,34+61,28 M COMPRIMENTO TOTAL SARJETAS RUA RIO BRANCO + 2,38+62,14+2,37+61,95 M COMPRIMENTO TOTAL SARJETAS RUA JOSÉ CAMPOS + 2,35+61,83+2,36+61,99 M COMPRIMENTO TOTAL SARJETAS RUA MANAUS + 2,35+62,53+2,36+62,59 M COMPRIMENTO TOTAL SARJETAS RUA BELÉM + 2,34+63,4+2,38+63,51 M COMPRIMENTO TOTAL SARJETAS RUA ISNALDO ALVES FERREIRA + 59,04+59,04 M COMPRIMENTO TOTAL SARJETAS RUA TEREZINA) / 20 (CONSIDERANDO LOCAÇÃO DE PONTOS A CADA 20,00 M))</t>
  </si>
  <si>
    <t>(62,98+2,34+61,28+7,47 M COMPRIMENTO TOTAL MEIO-FIO RUA RIO BRANCO + 2,38+62,14+2,37+61,95+9,05 M COMPRIMENTO TOTAL MEIO-FIO RUA JOSÉ CAMPOS + 2,35+61,83+2,36+61,99+9 M COMPRIMENTO TOTAL MEIO-FIO RUA MANAUS + 2,35+62,53+2,36+62,59+9 M COMPRIMENTO TOTAL MEIO-FIO RUA BELÉM + 2,34+63,4+2,38+63,51+9 M COMPRIMENTO TOTAL MEIO-FIO RUA ISNALDO ALVES FERREIRA + 59,04+59,04+7+7 M COMPRIMENTO TOTAL MEIO-FIO RUA TEREZINA)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</si>
</sst>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d&quot; de &quot;mmmm&quot; de &quot;yyyy"/>
    <numFmt numFmtId="166" formatCode="#,##0.0"/>
    <numFmt numFmtId="167" formatCode="&quot;R$&quot;\ #,##0.00"/>
    <numFmt numFmtId="168" formatCode="###,##0.00;###,##0.00;* &quot; &quot;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2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Arial MT"/>
    </font>
    <font>
      <sz val="8"/>
      <name val="Arial"/>
      <family val="2"/>
    </font>
    <font>
      <sz val="12"/>
      <name val="Arial MT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24"/>
        <bgColor indexed="46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3" borderId="0" applyNumberFormat="0" applyBorder="0" applyAlignment="0" applyProtection="0"/>
    <xf numFmtId="0" fontId="11" fillId="0" borderId="0"/>
    <xf numFmtId="0" fontId="13" fillId="4" borderId="0" applyNumberFormat="0" applyBorder="0" applyAlignment="0" applyProtection="0"/>
    <xf numFmtId="9" fontId="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09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2" fontId="6" fillId="0" borderId="1" xfId="2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0" fontId="5" fillId="0" borderId="2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0" fontId="4" fillId="0" borderId="11" xfId="0" applyFont="1" applyBorder="1"/>
    <xf numFmtId="0" fontId="4" fillId="0" borderId="12" xfId="0" applyFont="1" applyBorder="1"/>
    <xf numFmtId="0" fontId="5" fillId="0" borderId="11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4" fillId="0" borderId="15" xfId="0" applyFont="1" applyBorder="1"/>
    <xf numFmtId="0" fontId="4" fillId="0" borderId="16" xfId="0" applyFont="1" applyBorder="1"/>
    <xf numFmtId="0" fontId="4" fillId="0" borderId="6" xfId="0" applyFont="1" applyBorder="1"/>
    <xf numFmtId="0" fontId="4" fillId="0" borderId="0" xfId="0" applyFont="1" applyAlignment="1">
      <alignment horizontal="center"/>
    </xf>
    <xf numFmtId="0" fontId="10" fillId="5" borderId="1" xfId="4" applyFont="1" applyFill="1" applyBorder="1" applyAlignment="1">
      <alignment horizontal="left" vertical="center" wrapText="1"/>
    </xf>
    <xf numFmtId="0" fontId="10" fillId="5" borderId="1" xfId="4" applyFont="1" applyFill="1" applyBorder="1" applyAlignment="1">
      <alignment horizontal="center" vertical="center" wrapText="1"/>
    </xf>
    <xf numFmtId="10" fontId="12" fillId="5" borderId="2" xfId="6" applyNumberFormat="1" applyFont="1" applyFill="1" applyBorder="1" applyAlignment="1">
      <alignment horizontal="center" vertical="center"/>
    </xf>
    <xf numFmtId="0" fontId="4" fillId="0" borderId="11" xfId="5" applyFont="1" applyBorder="1" applyAlignment="1">
      <alignment horizontal="center"/>
    </xf>
    <xf numFmtId="0" fontId="4" fillId="0" borderId="12" xfId="5" applyFont="1" applyBorder="1" applyAlignment="1">
      <alignment horizontal="center"/>
    </xf>
    <xf numFmtId="0" fontId="0" fillId="6" borderId="0" xfId="0" applyFill="1"/>
    <xf numFmtId="0" fontId="0" fillId="7" borderId="0" xfId="0" applyFill="1"/>
    <xf numFmtId="0" fontId="12" fillId="2" borderId="7" xfId="5" applyFont="1" applyFill="1" applyBorder="1" applyAlignment="1">
      <alignment horizontal="center" vertical="center"/>
    </xf>
    <xf numFmtId="0" fontId="12" fillId="2" borderId="1" xfId="5" applyFont="1" applyFill="1" applyBorder="1" applyAlignment="1">
      <alignment horizontal="center" vertical="center"/>
    </xf>
    <xf numFmtId="0" fontId="0" fillId="2" borderId="0" xfId="0" applyFill="1"/>
    <xf numFmtId="0" fontId="12" fillId="2" borderId="1" xfId="5" applyFont="1" applyFill="1" applyBorder="1" applyAlignment="1">
      <alignment vertical="center"/>
    </xf>
    <xf numFmtId="2" fontId="12" fillId="2" borderId="2" xfId="6" applyNumberFormat="1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vertical="center"/>
    </xf>
    <xf numFmtId="44" fontId="5" fillId="2" borderId="2" xfId="3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right" vertical="center" wrapText="1"/>
    </xf>
    <xf numFmtId="0" fontId="5" fillId="0" borderId="33" xfId="0" applyFont="1" applyBorder="1" applyAlignment="1">
      <alignment horizontal="right" vertical="center" wrapText="1"/>
    </xf>
    <xf numFmtId="44" fontId="5" fillId="0" borderId="34" xfId="3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5" fillId="0" borderId="0" xfId="0" applyFont="1"/>
    <xf numFmtId="1" fontId="17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2" fontId="4" fillId="2" borderId="0" xfId="0" applyNumberFormat="1" applyFont="1" applyFill="1" applyAlignment="1">
      <alignment vertical="center"/>
    </xf>
    <xf numFmtId="44" fontId="4" fillId="2" borderId="0" xfId="3" applyFont="1" applyFill="1"/>
    <xf numFmtId="2" fontId="6" fillId="2" borderId="1" xfId="2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2" fillId="0" borderId="7" xfId="5" applyFont="1" applyBorder="1" applyAlignment="1">
      <alignment horizontal="center"/>
    </xf>
    <xf numFmtId="0" fontId="2" fillId="0" borderId="1" xfId="5" applyFont="1" applyBorder="1"/>
    <xf numFmtId="0" fontId="2" fillId="0" borderId="1" xfId="5" applyFont="1" applyBorder="1" applyAlignment="1">
      <alignment horizontal="center"/>
    </xf>
    <xf numFmtId="10" fontId="2" fillId="0" borderId="2" xfId="7" applyNumberFormat="1" applyFont="1" applyBorder="1" applyAlignment="1">
      <alignment horizontal="right"/>
    </xf>
    <xf numFmtId="10" fontId="2" fillId="0" borderId="2" xfId="7" applyNumberFormat="1" applyFont="1" applyBorder="1"/>
    <xf numFmtId="10" fontId="2" fillId="0" borderId="2" xfId="7" applyNumberFormat="1" applyFont="1" applyFill="1" applyBorder="1"/>
    <xf numFmtId="10" fontId="2" fillId="5" borderId="2" xfId="7" applyNumberFormat="1" applyFont="1" applyFill="1" applyBorder="1" applyAlignment="1">
      <alignment horizontal="right"/>
    </xf>
    <xf numFmtId="0" fontId="2" fillId="0" borderId="23" xfId="5" applyFont="1" applyBorder="1"/>
    <xf numFmtId="0" fontId="2" fillId="0" borderId="25" xfId="5" applyFont="1" applyBorder="1"/>
    <xf numFmtId="0" fontId="2" fillId="0" borderId="11" xfId="5" applyFont="1" applyBorder="1"/>
    <xf numFmtId="0" fontId="2" fillId="0" borderId="12" xfId="5" applyFont="1" applyBorder="1"/>
    <xf numFmtId="0" fontId="2" fillId="0" borderId="15" xfId="5" applyFont="1" applyBorder="1"/>
    <xf numFmtId="0" fontId="2" fillId="0" borderId="16" xfId="5" applyFont="1" applyBorder="1"/>
    <xf numFmtId="0" fontId="2" fillId="0" borderId="6" xfId="5" applyFont="1" applyBorder="1"/>
    <xf numFmtId="0" fontId="9" fillId="0" borderId="1" xfId="5" applyFont="1" applyBorder="1" applyAlignment="1">
      <alignment horizontal="center" vertical="center"/>
    </xf>
    <xf numFmtId="0" fontId="8" fillId="8" borderId="1" xfId="5" applyFont="1" applyFill="1" applyBorder="1" applyAlignment="1">
      <alignment horizontal="center" vertical="center"/>
    </xf>
    <xf numFmtId="44" fontId="9" fillId="0" borderId="1" xfId="3" applyFont="1" applyBorder="1" applyAlignment="1">
      <alignment horizontal="center" vertical="center"/>
    </xf>
    <xf numFmtId="10" fontId="9" fillId="0" borderId="1" xfId="1" applyNumberFormat="1" applyFont="1" applyBorder="1" applyAlignment="1">
      <alignment horizontal="center" vertical="center"/>
    </xf>
    <xf numFmtId="44" fontId="9" fillId="0" borderId="1" xfId="3" applyFont="1" applyFill="1" applyBorder="1" applyAlignment="1">
      <alignment horizontal="center" vertical="center"/>
    </xf>
    <xf numFmtId="44" fontId="8" fillId="8" borderId="1" xfId="3" applyFont="1" applyFill="1" applyBorder="1" applyAlignment="1">
      <alignment horizontal="center" vertical="center"/>
    </xf>
    <xf numFmtId="0" fontId="8" fillId="5" borderId="30" xfId="5" applyFont="1" applyFill="1" applyBorder="1" applyAlignment="1">
      <alignment horizontal="left" vertical="center" wrapText="1"/>
    </xf>
    <xf numFmtId="0" fontId="8" fillId="5" borderId="31" xfId="5" applyFont="1" applyFill="1" applyBorder="1" applyAlignment="1">
      <alignment horizontal="left" vertical="center" wrapText="1"/>
    </xf>
    <xf numFmtId="167" fontId="9" fillId="0" borderId="0" xfId="8" applyNumberFormat="1" applyFont="1" applyFill="1" applyBorder="1" applyAlignment="1">
      <alignment horizontal="center" vertical="center"/>
    </xf>
    <xf numFmtId="44" fontId="8" fillId="0" borderId="1" xfId="3" applyFont="1" applyBorder="1" applyAlignment="1">
      <alignment horizontal="left" vertical="center"/>
    </xf>
    <xf numFmtId="10" fontId="8" fillId="0" borderId="1" xfId="1" applyNumberFormat="1" applyFont="1" applyBorder="1" applyAlignment="1">
      <alignment horizontal="center" vertical="center"/>
    </xf>
    <xf numFmtId="44" fontId="8" fillId="0" borderId="1" xfId="3" applyFont="1" applyBorder="1" applyAlignment="1">
      <alignment horizontal="center" vertical="center"/>
    </xf>
    <xf numFmtId="10" fontId="8" fillId="0" borderId="1" xfId="5" applyNumberFormat="1" applyFont="1" applyBorder="1" applyAlignment="1">
      <alignment horizontal="center" vertical="center"/>
    </xf>
    <xf numFmtId="10" fontId="9" fillId="0" borderId="0" xfId="8" applyNumberFormat="1" applyFont="1" applyBorder="1" applyAlignment="1">
      <alignment horizontal="center"/>
    </xf>
    <xf numFmtId="49" fontId="9" fillId="0" borderId="0" xfId="8" applyNumberFormat="1" applyFont="1" applyBorder="1" applyAlignment="1">
      <alignment horizontal="center"/>
    </xf>
    <xf numFmtId="0" fontId="12" fillId="0" borderId="0" xfId="0" applyFont="1"/>
    <xf numFmtId="0" fontId="15" fillId="0" borderId="0" xfId="0" applyFont="1" applyAlignment="1">
      <alignment vertical="center"/>
    </xf>
    <xf numFmtId="0" fontId="15" fillId="0" borderId="12" xfId="0" applyFont="1" applyBorder="1" applyAlignment="1">
      <alignment vertical="center"/>
    </xf>
    <xf numFmtId="1" fontId="9" fillId="0" borderId="1" xfId="5" applyNumberFormat="1" applyFont="1" applyBorder="1" applyAlignment="1">
      <alignment horizontal="center" vertical="center" wrapText="1"/>
    </xf>
    <xf numFmtId="1" fontId="9" fillId="0" borderId="1" xfId="5" applyNumberFormat="1" applyFont="1" applyBorder="1" applyAlignment="1">
      <alignment horizontal="left" vertical="center" wrapText="1"/>
    </xf>
    <xf numFmtId="1" fontId="9" fillId="0" borderId="1" xfId="8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1" xfId="0" applyFont="1" applyBorder="1"/>
    <xf numFmtId="0" fontId="5" fillId="0" borderId="0" xfId="0" applyFont="1"/>
    <xf numFmtId="0" fontId="5" fillId="0" borderId="12" xfId="0" applyFont="1" applyBorder="1"/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44" fontId="6" fillId="0" borderId="1" xfId="3" applyFont="1" applyFill="1" applyBorder="1" applyAlignment="1">
      <alignment horizontal="center" vertical="center" wrapText="1"/>
    </xf>
    <xf numFmtId="44" fontId="4" fillId="0" borderId="0" xfId="3" applyFont="1" applyFill="1" applyAlignment="1">
      <alignment vertical="center"/>
    </xf>
    <xf numFmtId="44" fontId="4" fillId="0" borderId="0" xfId="3" applyFont="1" applyFill="1"/>
    <xf numFmtId="0" fontId="5" fillId="2" borderId="1" xfId="0" applyFont="1" applyFill="1" applyBorder="1" applyAlignment="1">
      <alignment horizontal="center" vertical="center" wrapText="1"/>
    </xf>
    <xf numFmtId="4" fontId="4" fillId="0" borderId="0" xfId="0" applyNumberFormat="1" applyFont="1"/>
    <xf numFmtId="2" fontId="5" fillId="0" borderId="1" xfId="0" applyNumberFormat="1" applyFont="1" applyBorder="1" applyAlignment="1">
      <alignment horizontal="center" vertical="center"/>
    </xf>
    <xf numFmtId="165" fontId="9" fillId="0" borderId="28" xfId="0" applyNumberFormat="1" applyFont="1" applyBorder="1" applyAlignment="1">
      <alignment horizontal="left" vertical="center" wrapText="1"/>
    </xf>
    <xf numFmtId="0" fontId="2" fillId="0" borderId="11" xfId="0" applyFont="1" applyBorder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4" fontId="6" fillId="0" borderId="2" xfId="3" applyFont="1" applyFill="1" applyBorder="1" applyAlignment="1">
      <alignment horizontal="center" vertical="center" wrapText="1"/>
    </xf>
    <xf numFmtId="0" fontId="8" fillId="7" borderId="35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8" borderId="2" xfId="5" applyFont="1" applyFill="1" applyBorder="1" applyAlignment="1">
      <alignment horizontal="center" vertical="center"/>
    </xf>
    <xf numFmtId="166" fontId="8" fillId="8" borderId="7" xfId="5" applyNumberFormat="1" applyFont="1" applyFill="1" applyBorder="1" applyAlignment="1">
      <alignment horizontal="center" vertical="center"/>
    </xf>
    <xf numFmtId="10" fontId="8" fillId="8" borderId="2" xfId="1" applyNumberFormat="1" applyFont="1" applyFill="1" applyBorder="1" applyAlignment="1">
      <alignment horizontal="center" vertical="center"/>
    </xf>
    <xf numFmtId="166" fontId="8" fillId="8" borderId="35" xfId="5" applyNumberFormat="1" applyFont="1" applyFill="1" applyBorder="1" applyAlignment="1">
      <alignment horizontal="center" vertical="center"/>
    </xf>
    <xf numFmtId="166" fontId="8" fillId="5" borderId="35" xfId="5" applyNumberFormat="1" applyFont="1" applyFill="1" applyBorder="1" applyAlignment="1">
      <alignment horizontal="center" vertical="center"/>
    </xf>
    <xf numFmtId="10" fontId="6" fillId="0" borderId="12" xfId="5" applyNumberFormat="1" applyFont="1" applyBorder="1" applyAlignment="1">
      <alignment horizontal="center" vertical="center"/>
    </xf>
    <xf numFmtId="166" fontId="8" fillId="0" borderId="7" xfId="5" applyNumberFormat="1" applyFont="1" applyBorder="1" applyAlignment="1">
      <alignment horizontal="center" vertical="center"/>
    </xf>
    <xf numFmtId="10" fontId="8" fillId="0" borderId="2" xfId="5" applyNumberFormat="1" applyFont="1" applyBorder="1" applyAlignment="1">
      <alignment horizontal="center" vertical="center"/>
    </xf>
    <xf numFmtId="10" fontId="8" fillId="0" borderId="2" xfId="8" applyNumberFormat="1" applyFont="1" applyBorder="1" applyAlignment="1">
      <alignment horizontal="center" vertical="center"/>
    </xf>
    <xf numFmtId="166" fontId="8" fillId="0" borderId="11" xfId="5" applyNumberFormat="1" applyFont="1" applyBorder="1" applyAlignment="1">
      <alignment horizontal="center"/>
    </xf>
    <xf numFmtId="168" fontId="6" fillId="0" borderId="12" xfId="5" applyNumberFormat="1" applyFont="1" applyBorder="1" applyAlignment="1">
      <alignment horizontal="center"/>
    </xf>
    <xf numFmtId="0" fontId="9" fillId="0" borderId="11" xfId="5" applyFont="1" applyBorder="1" applyAlignment="1">
      <alignment horizontal="center"/>
    </xf>
    <xf numFmtId="0" fontId="9" fillId="0" borderId="12" xfId="5" applyFont="1" applyBorder="1"/>
    <xf numFmtId="167" fontId="16" fillId="0" borderId="12" xfId="5" applyNumberFormat="1" applyFont="1" applyBorder="1" applyAlignment="1">
      <alignment horizontal="center" vertical="center"/>
    </xf>
    <xf numFmtId="0" fontId="16" fillId="0" borderId="12" xfId="5" applyFont="1" applyBorder="1" applyAlignment="1">
      <alignment horizontal="center" vertical="center"/>
    </xf>
    <xf numFmtId="0" fontId="9" fillId="0" borderId="11" xfId="0" applyFont="1" applyBorder="1"/>
    <xf numFmtId="0" fontId="8" fillId="0" borderId="11" xfId="0" applyFont="1" applyBorder="1"/>
    <xf numFmtId="0" fontId="9" fillId="0" borderId="15" xfId="0" applyFont="1" applyBorder="1"/>
    <xf numFmtId="0" fontId="6" fillId="0" borderId="16" xfId="0" applyFont="1" applyBorder="1" applyAlignment="1">
      <alignment horizontal="center" vertical="center"/>
    </xf>
    <xf numFmtId="0" fontId="9" fillId="0" borderId="16" xfId="0" applyFont="1" applyBorder="1"/>
    <xf numFmtId="0" fontId="9" fillId="0" borderId="6" xfId="0" applyFont="1" applyBorder="1"/>
    <xf numFmtId="0" fontId="6" fillId="0" borderId="17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horizontal="center"/>
    </xf>
    <xf numFmtId="2" fontId="6" fillId="0" borderId="1" xfId="0" applyNumberFormat="1" applyFont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44" fontId="4" fillId="0" borderId="0" xfId="0" applyNumberFormat="1" applyFont="1"/>
    <xf numFmtId="44" fontId="4" fillId="0" borderId="12" xfId="0" applyNumberFormat="1" applyFont="1" applyBorder="1"/>
    <xf numFmtId="0" fontId="9" fillId="0" borderId="1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4" fillId="2" borderId="0" xfId="0" applyFont="1" applyFill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4" fontId="2" fillId="9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0" xfId="0" applyNumberFormat="1" applyFont="1" applyFill="1" applyAlignment="1">
      <alignment vertical="center"/>
    </xf>
    <xf numFmtId="4" fontId="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4" fontId="4" fillId="0" borderId="0" xfId="3" applyFont="1" applyAlignment="1">
      <alignment horizontal="center" vertical="center"/>
    </xf>
    <xf numFmtId="0" fontId="4" fillId="2" borderId="17" xfId="0" applyFont="1" applyFill="1" applyBorder="1"/>
    <xf numFmtId="0" fontId="4" fillId="2" borderId="17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2" fillId="0" borderId="0" xfId="5" applyFont="1"/>
    <xf numFmtId="165" fontId="2" fillId="0" borderId="0" xfId="0" applyNumberFormat="1" applyFont="1" applyAlignment="1">
      <alignment horizontal="left" vertical="center"/>
    </xf>
    <xf numFmtId="0" fontId="4" fillId="0" borderId="0" xfId="5" applyFont="1" applyAlignment="1">
      <alignment horizontal="center"/>
    </xf>
    <xf numFmtId="167" fontId="8" fillId="0" borderId="0" xfId="5" applyNumberFormat="1" applyFont="1" applyAlignment="1">
      <alignment horizontal="left" vertical="center"/>
    </xf>
    <xf numFmtId="0" fontId="9" fillId="0" borderId="0" xfId="5" applyFont="1" applyAlignment="1">
      <alignment horizontal="left" vertical="center"/>
    </xf>
    <xf numFmtId="10" fontId="9" fillId="0" borderId="0" xfId="5" applyNumberFormat="1" applyFont="1" applyAlignment="1">
      <alignment horizontal="center" vertical="center"/>
    </xf>
    <xf numFmtId="0" fontId="9" fillId="0" borderId="0" xfId="5" applyFont="1" applyAlignment="1">
      <alignment horizontal="left"/>
    </xf>
    <xf numFmtId="168" fontId="9" fillId="0" borderId="0" xfId="5" applyNumberFormat="1" applyFont="1" applyAlignment="1">
      <alignment horizontal="center"/>
    </xf>
    <xf numFmtId="0" fontId="9" fillId="0" borderId="0" xfId="5" applyFont="1"/>
    <xf numFmtId="0" fontId="16" fillId="0" borderId="0" xfId="5" applyFont="1" applyAlignment="1">
      <alignment horizontal="center" vertical="center"/>
    </xf>
    <xf numFmtId="167" fontId="16" fillId="0" borderId="0" xfId="5" applyNumberFormat="1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5" fillId="7" borderId="41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43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44" fontId="6" fillId="0" borderId="1" xfId="3" applyFont="1" applyFill="1" applyBorder="1" applyAlignment="1">
      <alignment horizontal="left" vertical="center" wrapText="1"/>
    </xf>
    <xf numFmtId="44" fontId="6" fillId="0" borderId="2" xfId="3" applyFont="1" applyFill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6" fillId="0" borderId="26" xfId="3" applyNumberFormat="1" applyFont="1" applyFill="1" applyBorder="1" applyAlignment="1">
      <alignment horizontal="left" vertical="center" wrapText="1"/>
    </xf>
    <xf numFmtId="0" fontId="6" fillId="0" borderId="27" xfId="3" applyNumberFormat="1" applyFont="1" applyFill="1" applyBorder="1" applyAlignment="1">
      <alignment horizontal="left" vertical="center" wrapText="1"/>
    </xf>
    <xf numFmtId="0" fontId="6" fillId="0" borderId="37" xfId="3" applyNumberFormat="1" applyFont="1" applyFill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4" fontId="5" fillId="2" borderId="1" xfId="3" applyFont="1" applyFill="1" applyBorder="1" applyAlignment="1">
      <alignment horizontal="left" vertical="center" wrapText="1"/>
    </xf>
    <xf numFmtId="44" fontId="5" fillId="2" borderId="2" xfId="3" applyFont="1" applyFill="1" applyBorder="1" applyAlignment="1">
      <alignment horizontal="left" vertical="center" wrapText="1"/>
    </xf>
    <xf numFmtId="0" fontId="6" fillId="0" borderId="1" xfId="3" applyNumberFormat="1" applyFont="1" applyFill="1" applyBorder="1" applyAlignment="1">
      <alignment horizontal="left" vertical="center" wrapText="1"/>
    </xf>
    <xf numFmtId="0" fontId="6" fillId="0" borderId="2" xfId="3" applyNumberFormat="1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4" fontId="5" fillId="2" borderId="1" xfId="3" applyFont="1" applyFill="1" applyBorder="1" applyAlignment="1">
      <alignment horizontal="center" vertical="center" wrapText="1"/>
    </xf>
    <xf numFmtId="44" fontId="5" fillId="2" borderId="2" xfId="3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39" xfId="0" applyFont="1" applyFill="1" applyBorder="1" applyAlignment="1">
      <alignment horizontal="right" vertical="center" wrapText="1"/>
    </xf>
    <xf numFmtId="0" fontId="5" fillId="2" borderId="27" xfId="0" applyFont="1" applyFill="1" applyBorder="1" applyAlignment="1">
      <alignment horizontal="right" vertical="center" wrapText="1"/>
    </xf>
    <xf numFmtId="0" fontId="5" fillId="2" borderId="17" xfId="0" applyFont="1" applyFill="1" applyBorder="1" applyAlignment="1">
      <alignment horizontal="right" vertical="center" wrapText="1"/>
    </xf>
    <xf numFmtId="0" fontId="8" fillId="0" borderId="17" xfId="0" applyFont="1" applyBorder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4" fontId="5" fillId="0" borderId="26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5" applyFont="1" applyBorder="1" applyAlignment="1">
      <alignment horizontal="left" vertical="center" wrapText="1"/>
    </xf>
    <xf numFmtId="0" fontId="12" fillId="0" borderId="1" xfId="5" applyFont="1" applyBorder="1" applyAlignment="1">
      <alignment horizontal="left" vertical="center" wrapText="1"/>
    </xf>
    <xf numFmtId="0" fontId="12" fillId="0" borderId="2" xfId="5" applyFont="1" applyBorder="1" applyAlignment="1">
      <alignment horizontal="left" vertical="center" wrapText="1"/>
    </xf>
    <xf numFmtId="0" fontId="12" fillId="6" borderId="41" xfId="5" applyFont="1" applyFill="1" applyBorder="1" applyAlignment="1">
      <alignment horizontal="center" vertical="center"/>
    </xf>
    <xf numFmtId="0" fontId="12" fillId="6" borderId="42" xfId="5" applyFont="1" applyFill="1" applyBorder="1" applyAlignment="1">
      <alignment horizontal="center" vertical="center"/>
    </xf>
    <xf numFmtId="0" fontId="12" fillId="6" borderId="43" xfId="5" applyFont="1" applyFill="1" applyBorder="1" applyAlignment="1">
      <alignment horizontal="center" vertical="center"/>
    </xf>
    <xf numFmtId="0" fontId="12" fillId="7" borderId="35" xfId="5" applyFont="1" applyFill="1" applyBorder="1" applyAlignment="1">
      <alignment horizontal="left" vertical="center" wrapText="1"/>
    </xf>
    <xf numFmtId="0" fontId="12" fillId="7" borderId="29" xfId="5" applyFont="1" applyFill="1" applyBorder="1" applyAlignment="1">
      <alignment horizontal="left" vertical="center" wrapText="1"/>
    </xf>
    <xf numFmtId="0" fontId="12" fillId="7" borderId="36" xfId="5" applyFont="1" applyFill="1" applyBorder="1" applyAlignment="1">
      <alignment horizontal="left" vertical="center" wrapText="1"/>
    </xf>
    <xf numFmtId="0" fontId="15" fillId="0" borderId="11" xfId="5" applyFont="1" applyBorder="1" applyAlignment="1">
      <alignment horizontal="center"/>
    </xf>
    <xf numFmtId="0" fontId="15" fillId="0" borderId="0" xfId="5" applyFont="1" applyAlignment="1">
      <alignment horizontal="center"/>
    </xf>
    <xf numFmtId="0" fontId="15" fillId="0" borderId="12" xfId="5" applyFont="1" applyBorder="1" applyAlignment="1">
      <alignment horizontal="center"/>
    </xf>
    <xf numFmtId="0" fontId="4" fillId="0" borderId="11" xfId="5" applyFont="1" applyBorder="1" applyAlignment="1">
      <alignment horizontal="left" vertical="center"/>
    </xf>
    <xf numFmtId="0" fontId="4" fillId="0" borderId="0" xfId="5" applyFont="1" applyAlignment="1">
      <alignment horizontal="left" vertical="center"/>
    </xf>
    <xf numFmtId="0" fontId="4" fillId="0" borderId="12" xfId="5" applyFont="1" applyBorder="1" applyAlignment="1">
      <alignment horizontal="left" vertical="center"/>
    </xf>
    <xf numFmtId="0" fontId="12" fillId="7" borderId="7" xfId="6" applyFont="1" applyFill="1" applyBorder="1" applyAlignment="1">
      <alignment horizontal="center" vertical="center"/>
    </xf>
    <xf numFmtId="0" fontId="12" fillId="7" borderId="1" xfId="6" applyFont="1" applyFill="1" applyBorder="1" applyAlignment="1">
      <alignment horizontal="center" vertical="center"/>
    </xf>
    <xf numFmtId="0" fontId="12" fillId="7" borderId="2" xfId="6" applyFont="1" applyFill="1" applyBorder="1" applyAlignment="1">
      <alignment horizontal="center" vertical="center"/>
    </xf>
    <xf numFmtId="0" fontId="12" fillId="2" borderId="1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4" fillId="5" borderId="7" xfId="4" applyFont="1" applyFill="1" applyBorder="1" applyAlignment="1">
      <alignment horizontal="center" vertical="center"/>
    </xf>
    <xf numFmtId="0" fontId="14" fillId="5" borderId="1" xfId="4" applyFont="1" applyFill="1" applyBorder="1" applyAlignment="1">
      <alignment horizontal="center" vertical="center"/>
    </xf>
    <xf numFmtId="0" fontId="2" fillId="0" borderId="24" xfId="5" applyFont="1" applyBorder="1" applyAlignment="1">
      <alignment horizontal="center" wrapText="1"/>
    </xf>
    <xf numFmtId="0" fontId="2" fillId="0" borderId="11" xfId="5" applyFont="1" applyBorder="1" applyAlignment="1">
      <alignment horizontal="center"/>
    </xf>
    <xf numFmtId="0" fontId="2" fillId="0" borderId="0" xfId="5" applyFont="1" applyAlignment="1">
      <alignment horizontal="center"/>
    </xf>
    <xf numFmtId="0" fontId="2" fillId="0" borderId="12" xfId="5" applyFont="1" applyBorder="1" applyAlignment="1">
      <alignment horizontal="center"/>
    </xf>
    <xf numFmtId="0" fontId="15" fillId="0" borderId="11" xfId="5" applyFont="1" applyBorder="1" applyAlignment="1">
      <alignment horizontal="center" vertical="center" wrapText="1"/>
    </xf>
    <xf numFmtId="0" fontId="15" fillId="0" borderId="0" xfId="5" applyFont="1" applyAlignment="1">
      <alignment horizontal="center" vertical="center" wrapText="1"/>
    </xf>
    <xf numFmtId="0" fontId="15" fillId="0" borderId="12" xfId="5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8" fillId="8" borderId="1" xfId="5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6" fillId="0" borderId="0" xfId="5" applyFont="1" applyAlignment="1">
      <alignment horizontal="center" vertical="center" wrapText="1"/>
    </xf>
    <xf numFmtId="0" fontId="16" fillId="0" borderId="0" xfId="5" applyFont="1" applyAlignment="1">
      <alignment horizontal="center" vertical="center"/>
    </xf>
    <xf numFmtId="0" fontId="8" fillId="7" borderId="29" xfId="5" applyFont="1" applyFill="1" applyBorder="1" applyAlignment="1">
      <alignment horizontal="center" vertical="center"/>
    </xf>
    <xf numFmtId="0" fontId="9" fillId="0" borderId="0" xfId="5" applyFont="1" applyAlignment="1">
      <alignment horizontal="right"/>
    </xf>
    <xf numFmtId="0" fontId="9" fillId="0" borderId="38" xfId="5" applyFont="1" applyBorder="1" applyAlignment="1">
      <alignment horizontal="right"/>
    </xf>
    <xf numFmtId="0" fontId="6" fillId="0" borderId="12" xfId="0" applyFont="1" applyBorder="1" applyAlignment="1">
      <alignment horizontal="center" vertical="center"/>
    </xf>
    <xf numFmtId="0" fontId="8" fillId="0" borderId="1" xfId="5" applyFont="1" applyBorder="1" applyAlignment="1">
      <alignment horizontal="left" vertical="center"/>
    </xf>
    <xf numFmtId="0" fontId="9" fillId="0" borderId="11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5" fillId="0" borderId="39" xfId="5" applyFont="1" applyBorder="1" applyAlignment="1">
      <alignment horizontal="left" vertical="center"/>
    </xf>
    <xf numFmtId="0" fontId="5" fillId="0" borderId="27" xfId="5" applyFont="1" applyBorder="1" applyAlignment="1">
      <alignment horizontal="left" vertical="center"/>
    </xf>
    <xf numFmtId="0" fontId="5" fillId="0" borderId="37" xfId="5" applyFont="1" applyBorder="1" applyAlignment="1">
      <alignment horizontal="left" vertical="center"/>
    </xf>
    <xf numFmtId="0" fontId="5" fillId="0" borderId="39" xfId="5" applyFont="1" applyBorder="1" applyAlignment="1">
      <alignment horizontal="left" vertical="center" wrapText="1"/>
    </xf>
    <xf numFmtId="0" fontId="5" fillId="0" borderId="27" xfId="5" applyFont="1" applyBorder="1" applyAlignment="1">
      <alignment horizontal="left" vertical="center" wrapText="1"/>
    </xf>
    <xf numFmtId="0" fontId="5" fillId="0" borderId="17" xfId="5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7" borderId="41" xfId="5" applyFont="1" applyFill="1" applyBorder="1" applyAlignment="1">
      <alignment horizontal="center" vertical="center"/>
    </xf>
    <xf numFmtId="0" fontId="8" fillId="7" borderId="42" xfId="5" applyFont="1" applyFill="1" applyBorder="1" applyAlignment="1">
      <alignment horizontal="center" vertical="center"/>
    </xf>
    <xf numFmtId="0" fontId="8" fillId="7" borderId="43" xfId="5" applyFont="1" applyFill="1" applyBorder="1" applyAlignment="1">
      <alignment horizontal="center" vertical="center"/>
    </xf>
    <xf numFmtId="0" fontId="5" fillId="0" borderId="47" xfId="5" applyFont="1" applyBorder="1" applyAlignment="1">
      <alignment horizontal="left" vertical="center" wrapText="1"/>
    </xf>
    <xf numFmtId="0" fontId="5" fillId="0" borderId="40" xfId="5" applyFont="1" applyBorder="1" applyAlignment="1">
      <alignment horizontal="left" vertical="center" wrapText="1"/>
    </xf>
    <xf numFmtId="0" fontId="5" fillId="0" borderId="48" xfId="5" applyFont="1" applyBorder="1" applyAlignment="1">
      <alignment horizontal="left" vertical="center" wrapText="1"/>
    </xf>
    <xf numFmtId="0" fontId="5" fillId="0" borderId="32" xfId="5" applyFont="1" applyBorder="1" applyAlignment="1">
      <alignment horizontal="left" vertical="center" wrapText="1"/>
    </xf>
    <xf numFmtId="0" fontId="5" fillId="0" borderId="33" xfId="5" applyFont="1" applyBorder="1" applyAlignment="1">
      <alignment horizontal="left" vertical="center" wrapText="1"/>
    </xf>
    <xf numFmtId="0" fontId="5" fillId="0" borderId="34" xfId="5" applyFont="1" applyBorder="1" applyAlignment="1">
      <alignment horizontal="left" vertical="center" wrapText="1"/>
    </xf>
    <xf numFmtId="0" fontId="5" fillId="0" borderId="37" xfId="5" applyFont="1" applyBorder="1" applyAlignment="1">
      <alignment horizontal="left" vertical="center" wrapText="1"/>
    </xf>
    <xf numFmtId="0" fontId="8" fillId="7" borderId="36" xfId="5" applyFont="1" applyFill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</cellXfs>
  <cellStyles count="9">
    <cellStyle name="20% - Ênfase1" xfId="4" builtinId="30"/>
    <cellStyle name="60% - Ênfase1 2" xfId="6" xr:uid="{00000000-0005-0000-0000-000001000000}"/>
    <cellStyle name="Moeda" xfId="3" builtinId="4"/>
    <cellStyle name="Normal" xfId="0" builtinId="0"/>
    <cellStyle name="Normal 2" xfId="5" xr:uid="{00000000-0005-0000-0000-000004000000}"/>
    <cellStyle name="Porcentagem" xfId="1" builtinId="5"/>
    <cellStyle name="Porcentagem 2 2" xfId="7" xr:uid="{00000000-0005-0000-0000-000006000000}"/>
    <cellStyle name="Vírgula" xfId="2" builtinId="3"/>
    <cellStyle name="Vírgula 2" xfId="8" xr:uid="{00000000-0005-0000-0000-000008000000}"/>
  </cellStyles>
  <dxfs count="1"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370115</xdr:colOff>
      <xdr:row>0</xdr:row>
      <xdr:rowOff>174172</xdr:rowOff>
    </xdr:from>
    <xdr:to>
      <xdr:col>1</xdr:col>
      <xdr:colOff>724808</xdr:colOff>
      <xdr:row>0</xdr:row>
      <xdr:rowOff>1237797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9C7A95E-CC80-4AD1-B4E4-69B5EA8702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15" y="174172"/>
          <a:ext cx="1073150" cy="10636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370115</xdr:colOff>
      <xdr:row>0</xdr:row>
      <xdr:rowOff>141515</xdr:rowOff>
    </xdr:from>
    <xdr:to>
      <xdr:col>1</xdr:col>
      <xdr:colOff>522514</xdr:colOff>
      <xdr:row>0</xdr:row>
      <xdr:rowOff>1001486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DD62AD9-82C1-4CF7-937B-D4D114BC6E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15" y="141515"/>
          <a:ext cx="870856" cy="859971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66261</xdr:colOff>
      <xdr:row>0</xdr:row>
      <xdr:rowOff>99392</xdr:rowOff>
    </xdr:from>
    <xdr:to>
      <xdr:col>0</xdr:col>
      <xdr:colOff>735496</xdr:colOff>
      <xdr:row>1</xdr:row>
      <xdr:rowOff>530087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E16B47F-B2AE-4D90-93C1-48E58A8F5D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61" y="99392"/>
          <a:ext cx="669235" cy="636104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419528</xdr:colOff>
      <xdr:row>0</xdr:row>
      <xdr:rowOff>188359</xdr:rowOff>
    </xdr:from>
    <xdr:to>
      <xdr:col>2</xdr:col>
      <xdr:colOff>125980</xdr:colOff>
      <xdr:row>0</xdr:row>
      <xdr:rowOff>1048330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776BC48-F47B-4DD6-A9B4-66795D4298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528" y="188359"/>
          <a:ext cx="870856" cy="85997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showZeros="0" view="pageBreakPreview" topLeftCell="A34" zoomScale="70" zoomScaleNormal="100" zoomScaleSheetLayoutView="70" workbookViewId="0">
      <selection activeCell="A23" sqref="A23:I30"/>
    </sheetView>
  </sheetViews>
  <sheetFormatPr defaultColWidth="9.140625" defaultRowHeight="12.75"/>
  <cols>
    <col min="1" max="1" width="10.42578125" style="1" customWidth="1"/>
    <col min="2" max="2" width="15.140625" style="1" customWidth="1"/>
    <col min="3" max="3" width="11.5703125" style="1" bestFit="1" customWidth="1"/>
    <col min="4" max="4" width="70.7109375" style="1" customWidth="1"/>
    <col min="5" max="5" width="12.7109375" style="1" customWidth="1"/>
    <col min="6" max="6" width="17.28515625" style="1" customWidth="1"/>
    <col min="7" max="8" width="14.85546875" style="1" bestFit="1" customWidth="1"/>
    <col min="9" max="9" width="42.85546875" style="1" customWidth="1"/>
    <col min="10" max="10" width="19.42578125" style="1" customWidth="1"/>
    <col min="11" max="11" width="17.7109375" style="1" customWidth="1"/>
    <col min="12" max="12" width="18.5703125" style="1" bestFit="1" customWidth="1"/>
    <col min="13" max="13" width="12.7109375" style="1" bestFit="1" customWidth="1"/>
    <col min="14" max="14" width="11.28515625" style="1" bestFit="1" customWidth="1"/>
    <col min="15" max="15" width="13.28515625" style="1" bestFit="1" customWidth="1"/>
    <col min="16" max="16" width="14.28515625" style="1" customWidth="1"/>
    <col min="17" max="17" width="12.140625" style="1" customWidth="1"/>
    <col min="18" max="16384" width="9.140625" style="1"/>
  </cols>
  <sheetData>
    <row r="1" spans="1:18" ht="110.45" customHeight="1" thickBot="1">
      <c r="A1" s="183" t="s">
        <v>84</v>
      </c>
      <c r="B1" s="184"/>
      <c r="C1" s="184"/>
      <c r="D1" s="184"/>
      <c r="E1" s="184"/>
      <c r="F1" s="184"/>
      <c r="G1" s="184"/>
      <c r="H1" s="184"/>
      <c r="I1" s="185"/>
      <c r="J1" s="20"/>
    </row>
    <row r="2" spans="1:18" ht="21.75" customHeight="1" thickBot="1">
      <c r="A2" s="186" t="s">
        <v>62</v>
      </c>
      <c r="B2" s="187"/>
      <c r="C2" s="187"/>
      <c r="D2" s="187"/>
      <c r="E2" s="187"/>
      <c r="F2" s="187"/>
      <c r="G2" s="187"/>
      <c r="H2" s="187"/>
      <c r="I2" s="188"/>
    </row>
    <row r="3" spans="1:18" ht="24.6" customHeight="1">
      <c r="A3" s="189" t="s">
        <v>80</v>
      </c>
      <c r="B3" s="190"/>
      <c r="C3" s="190"/>
      <c r="D3" s="190"/>
      <c r="E3" s="190"/>
      <c r="F3" s="190"/>
      <c r="G3" s="190"/>
      <c r="H3" s="190"/>
      <c r="I3" s="191"/>
    </row>
    <row r="4" spans="1:18" ht="41.45" customHeight="1">
      <c r="A4" s="194" t="s">
        <v>85</v>
      </c>
      <c r="B4" s="195"/>
      <c r="C4" s="195"/>
      <c r="D4" s="195"/>
      <c r="E4" s="195"/>
      <c r="F4" s="195"/>
      <c r="G4" s="196"/>
      <c r="H4" s="6" t="s">
        <v>73</v>
      </c>
      <c r="I4" s="149">
        <f ca="1">TODAY()</f>
        <v>46225</v>
      </c>
    </row>
    <row r="5" spans="1:18" ht="53.45" customHeight="1">
      <c r="A5" s="213" t="s">
        <v>108</v>
      </c>
      <c r="B5" s="214"/>
      <c r="C5" s="214"/>
      <c r="D5" s="214"/>
      <c r="E5" s="214"/>
      <c r="F5" s="215" t="s">
        <v>10</v>
      </c>
      <c r="G5" s="215"/>
      <c r="H5" s="215"/>
      <c r="I5" s="216"/>
    </row>
    <row r="6" spans="1:18" ht="48" customHeight="1">
      <c r="A6" s="217" t="s">
        <v>107</v>
      </c>
      <c r="B6" s="218"/>
      <c r="C6" s="218"/>
      <c r="D6" s="218"/>
      <c r="E6" s="218"/>
      <c r="F6" s="215" t="s">
        <v>8</v>
      </c>
      <c r="G6" s="215" t="s">
        <v>6</v>
      </c>
      <c r="H6" s="6" t="s">
        <v>69</v>
      </c>
      <c r="I6" s="44" t="s">
        <v>7</v>
      </c>
    </row>
    <row r="7" spans="1:18" ht="21" customHeight="1">
      <c r="A7" s="213" t="s">
        <v>79</v>
      </c>
      <c r="B7" s="214"/>
      <c r="C7" s="214"/>
      <c r="D7" s="214"/>
      <c r="E7" s="214"/>
      <c r="F7" s="215"/>
      <c r="G7" s="215"/>
      <c r="H7" s="7" t="s">
        <v>17</v>
      </c>
      <c r="I7" s="10">
        <f>BDI!D22</f>
        <v>0.24399999999999999</v>
      </c>
    </row>
    <row r="8" spans="1:18" ht="46.9" customHeight="1">
      <c r="A8" s="115" t="s">
        <v>0</v>
      </c>
      <c r="B8" s="6" t="s">
        <v>70</v>
      </c>
      <c r="C8" s="6" t="s">
        <v>5</v>
      </c>
      <c r="D8" s="6" t="s">
        <v>1</v>
      </c>
      <c r="E8" s="6" t="s">
        <v>3</v>
      </c>
      <c r="F8" s="6" t="s">
        <v>2</v>
      </c>
      <c r="G8" s="222" t="s">
        <v>72</v>
      </c>
      <c r="H8" s="222"/>
      <c r="I8" s="223"/>
    </row>
    <row r="9" spans="1:18" s="54" customFormat="1" ht="18" customHeight="1">
      <c r="A9" s="49">
        <v>1</v>
      </c>
      <c r="B9" s="107"/>
      <c r="C9" s="50"/>
      <c r="D9" s="51" t="s">
        <v>81</v>
      </c>
      <c r="E9" s="57"/>
      <c r="F9" s="53"/>
      <c r="G9" s="224"/>
      <c r="H9" s="224"/>
      <c r="I9" s="225"/>
    </row>
    <row r="10" spans="1:18" ht="45">
      <c r="A10" s="11" t="s">
        <v>12</v>
      </c>
      <c r="B10" s="8" t="s">
        <v>71</v>
      </c>
      <c r="C10" s="8">
        <v>103689</v>
      </c>
      <c r="D10" s="9" t="s">
        <v>65</v>
      </c>
      <c r="E10" s="4" t="s">
        <v>11</v>
      </c>
      <c r="F10" s="39">
        <f>ROUND((1.5*3),2)</f>
        <v>4.5</v>
      </c>
      <c r="G10" s="192" t="s">
        <v>74</v>
      </c>
      <c r="H10" s="192"/>
      <c r="I10" s="193"/>
    </row>
    <row r="11" spans="1:18" ht="145.15" customHeight="1">
      <c r="A11" s="11" t="s">
        <v>28</v>
      </c>
      <c r="B11" s="8" t="s">
        <v>105</v>
      </c>
      <c r="C11" s="8" t="s">
        <v>104</v>
      </c>
      <c r="D11" s="9" t="s">
        <v>102</v>
      </c>
      <c r="E11" s="4" t="s">
        <v>103</v>
      </c>
      <c r="F11" s="39">
        <f>ROUND((F20/20),0)</f>
        <v>38</v>
      </c>
      <c r="G11" s="197" t="s">
        <v>114</v>
      </c>
      <c r="H11" s="198"/>
      <c r="I11" s="199"/>
    </row>
    <row r="12" spans="1:18" s="54" customFormat="1" ht="15.75">
      <c r="A12" s="49">
        <v>2</v>
      </c>
      <c r="B12" s="107"/>
      <c r="C12" s="50"/>
      <c r="D12" s="51" t="s">
        <v>82</v>
      </c>
      <c r="E12" s="52"/>
      <c r="F12" s="53"/>
      <c r="G12" s="209"/>
      <c r="H12" s="209"/>
      <c r="I12" s="210"/>
      <c r="J12" s="166"/>
      <c r="K12" s="156" t="s">
        <v>89</v>
      </c>
      <c r="L12" s="156" t="s">
        <v>90</v>
      </c>
      <c r="M12" s="156" t="s">
        <v>91</v>
      </c>
      <c r="N12" s="159" t="s">
        <v>92</v>
      </c>
      <c r="O12" s="159" t="s">
        <v>93</v>
      </c>
      <c r="P12" s="159" t="s">
        <v>106</v>
      </c>
      <c r="Q12" s="159" t="s">
        <v>56</v>
      </c>
    </row>
    <row r="13" spans="1:18" s="54" customFormat="1" ht="61.15" customHeight="1">
      <c r="A13" s="11" t="s">
        <v>13</v>
      </c>
      <c r="B13" s="141" t="s">
        <v>71</v>
      </c>
      <c r="C13" s="8">
        <v>100576</v>
      </c>
      <c r="D13" s="9" t="s">
        <v>76</v>
      </c>
      <c r="E13" s="4" t="s">
        <v>11</v>
      </c>
      <c r="F13" s="39">
        <f>ROUND((379.77+386.3+385.5+389.37+394.74+413.26),2)</f>
        <v>2348.94</v>
      </c>
      <c r="G13" s="197" t="s">
        <v>109</v>
      </c>
      <c r="H13" s="198"/>
      <c r="I13" s="199"/>
      <c r="J13" s="167" t="s">
        <v>94</v>
      </c>
      <c r="K13" s="180">
        <v>379.77</v>
      </c>
      <c r="L13" s="180">
        <v>386.3</v>
      </c>
      <c r="M13" s="180">
        <v>385.5</v>
      </c>
      <c r="N13" s="181">
        <v>389.37</v>
      </c>
      <c r="O13" s="181">
        <v>394.74</v>
      </c>
      <c r="P13" s="181">
        <v>413.26</v>
      </c>
      <c r="Q13" s="182">
        <f>ROUND(SUM(K13:P13),2)</f>
        <v>2348.94</v>
      </c>
      <c r="R13" s="161">
        <f>Q13-F13</f>
        <v>0</v>
      </c>
    </row>
    <row r="14" spans="1:18" s="54" customFormat="1" ht="82.9" customHeight="1">
      <c r="A14" s="11" t="s">
        <v>43</v>
      </c>
      <c r="B14" s="163" t="s">
        <v>71</v>
      </c>
      <c r="C14" s="148">
        <v>101124</v>
      </c>
      <c r="D14" s="164" t="s">
        <v>99</v>
      </c>
      <c r="E14" s="163" t="s">
        <v>16</v>
      </c>
      <c r="F14" s="39">
        <f>ROUND((F13*0.1),2)</f>
        <v>234.89</v>
      </c>
      <c r="G14" s="197" t="s">
        <v>110</v>
      </c>
      <c r="H14" s="198"/>
      <c r="I14" s="199"/>
      <c r="J14" s="167" t="s">
        <v>95</v>
      </c>
      <c r="K14" s="155">
        <f t="shared" ref="K14:O14" si="0">ROUND((K13*0.1),2)</f>
        <v>37.979999999999997</v>
      </c>
      <c r="L14" s="155">
        <f t="shared" si="0"/>
        <v>38.630000000000003</v>
      </c>
      <c r="M14" s="155">
        <f t="shared" si="0"/>
        <v>38.549999999999997</v>
      </c>
      <c r="N14" s="155">
        <f t="shared" si="0"/>
        <v>38.94</v>
      </c>
      <c r="O14" s="155">
        <f t="shared" si="0"/>
        <v>39.47</v>
      </c>
      <c r="P14" s="155">
        <f t="shared" ref="P14" si="1">ROUND((P13*0.1),2)</f>
        <v>41.33</v>
      </c>
      <c r="Q14" s="160">
        <f>ROUND(SUM(K14:P14),2)</f>
        <v>234.9</v>
      </c>
      <c r="R14" s="161">
        <f>Q14-F16</f>
        <v>1.0000000000019327E-2</v>
      </c>
    </row>
    <row r="15" spans="1:18" s="54" customFormat="1" ht="90" customHeight="1">
      <c r="A15" s="11" t="s">
        <v>46</v>
      </c>
      <c r="B15" s="163" t="s">
        <v>71</v>
      </c>
      <c r="C15" s="148">
        <v>95425</v>
      </c>
      <c r="D15" s="164" t="s">
        <v>100</v>
      </c>
      <c r="E15" s="163" t="s">
        <v>101</v>
      </c>
      <c r="F15" s="39">
        <f>ROUND((F14*4.8),2)</f>
        <v>1127.47</v>
      </c>
      <c r="G15" s="197" t="s">
        <v>111</v>
      </c>
      <c r="H15" s="198"/>
      <c r="I15" s="199"/>
      <c r="J15" s="167" t="s">
        <v>98</v>
      </c>
      <c r="K15" s="155">
        <f t="shared" ref="K15:Q15" si="2">ROUND((K14*4.8),2)</f>
        <v>182.3</v>
      </c>
      <c r="L15" s="155">
        <f t="shared" si="2"/>
        <v>185.42</v>
      </c>
      <c r="M15" s="155">
        <f t="shared" si="2"/>
        <v>185.04</v>
      </c>
      <c r="N15" s="155">
        <f t="shared" si="2"/>
        <v>186.91</v>
      </c>
      <c r="O15" s="155">
        <f t="shared" si="2"/>
        <v>189.46</v>
      </c>
      <c r="P15" s="155">
        <f t="shared" ref="P15" si="3">ROUND((P14*4.8),2)</f>
        <v>198.38</v>
      </c>
      <c r="Q15" s="155">
        <f t="shared" si="2"/>
        <v>1127.52</v>
      </c>
      <c r="R15" s="161">
        <f>Q15-F15</f>
        <v>4.9999999999954525E-2</v>
      </c>
    </row>
    <row r="16" spans="1:18" ht="84" customHeight="1">
      <c r="A16" s="11" t="s">
        <v>49</v>
      </c>
      <c r="B16" s="141" t="s">
        <v>71</v>
      </c>
      <c r="C16" s="8">
        <v>101767</v>
      </c>
      <c r="D16" s="9" t="s">
        <v>75</v>
      </c>
      <c r="E16" s="4" t="s">
        <v>16</v>
      </c>
      <c r="F16" s="39">
        <f>F14</f>
        <v>234.89</v>
      </c>
      <c r="G16" s="197" t="s">
        <v>110</v>
      </c>
      <c r="H16" s="198"/>
      <c r="I16" s="199"/>
      <c r="J16" s="168" t="s">
        <v>96</v>
      </c>
      <c r="K16" s="158">
        <f>ROUND((62.98+2.34+61.28),2)</f>
        <v>126.6</v>
      </c>
      <c r="L16" s="158">
        <f>ROUND((2.38+62.14+2.37+61.95),2)</f>
        <v>128.84</v>
      </c>
      <c r="M16" s="158">
        <f>ROUND((2.35+61.83+2.36+61.99),2)</f>
        <v>128.53</v>
      </c>
      <c r="N16" s="158">
        <f>ROUND((2.35+62.53+2.36+62.59),2)</f>
        <v>129.83000000000001</v>
      </c>
      <c r="O16" s="158">
        <f>ROUND((2.34+63.4+2.38+63.51),2)</f>
        <v>131.63</v>
      </c>
      <c r="P16" s="158">
        <f>ROUND((59.04+59.04),2)</f>
        <v>118.08</v>
      </c>
      <c r="Q16" s="160">
        <f>ROUND(SUM(K16:P16),2)</f>
        <v>763.51</v>
      </c>
      <c r="R16" s="161">
        <f>Q16-F20</f>
        <v>0</v>
      </c>
    </row>
    <row r="17" spans="1:18" s="54" customFormat="1" ht="18" customHeight="1">
      <c r="A17" s="49">
        <v>3</v>
      </c>
      <c r="B17" s="107"/>
      <c r="C17" s="50"/>
      <c r="D17" s="51" t="s">
        <v>64</v>
      </c>
      <c r="E17" s="52"/>
      <c r="F17" s="53"/>
      <c r="G17" s="209"/>
      <c r="H17" s="209"/>
      <c r="I17" s="210"/>
      <c r="J17" s="167" t="s">
        <v>97</v>
      </c>
      <c r="K17" s="157">
        <f>ROUND((K16+7.47),2)</f>
        <v>134.07</v>
      </c>
      <c r="L17" s="157">
        <f>ROUND((L16+9.05),2)</f>
        <v>137.88999999999999</v>
      </c>
      <c r="M17" s="157">
        <f>ROUND((M16+9),2)</f>
        <v>137.53</v>
      </c>
      <c r="N17" s="157">
        <f>ROUND((N16+9),2)</f>
        <v>138.83000000000001</v>
      </c>
      <c r="O17" s="157">
        <f>ROUND((O16+9),2)</f>
        <v>140.63</v>
      </c>
      <c r="P17" s="157">
        <f>ROUND((P16+7+7),2)</f>
        <v>132.08000000000001</v>
      </c>
      <c r="Q17" s="160">
        <f>ROUND(SUM(K17:P17),2)</f>
        <v>821.03</v>
      </c>
      <c r="R17" s="161">
        <f>Q17-F21</f>
        <v>0</v>
      </c>
    </row>
    <row r="18" spans="1:18" ht="79.900000000000006" customHeight="1">
      <c r="A18" s="11" t="s">
        <v>14</v>
      </c>
      <c r="B18" s="141" t="s">
        <v>71</v>
      </c>
      <c r="C18" s="46">
        <v>92394</v>
      </c>
      <c r="D18" s="142" t="s">
        <v>86</v>
      </c>
      <c r="E18" s="47" t="s">
        <v>11</v>
      </c>
      <c r="F18" s="39">
        <f>ROUND((322.64+327.99+327.34+330.62+335.2+360.12),2)</f>
        <v>2003.91</v>
      </c>
      <c r="G18" s="197" t="s">
        <v>112</v>
      </c>
      <c r="H18" s="198"/>
      <c r="I18" s="199"/>
      <c r="J18" s="167" t="s">
        <v>64</v>
      </c>
      <c r="K18" s="157">
        <v>322.64</v>
      </c>
      <c r="L18" s="157">
        <v>327.99</v>
      </c>
      <c r="M18" s="157">
        <v>327.33999999999997</v>
      </c>
      <c r="N18" s="157">
        <v>330.62</v>
      </c>
      <c r="O18" s="157">
        <v>335.2</v>
      </c>
      <c r="P18" s="157">
        <v>360.12</v>
      </c>
      <c r="Q18" s="160">
        <f>ROUND(SUM(K18:P18),2)</f>
        <v>2003.91</v>
      </c>
      <c r="R18" s="161">
        <f>Q18-F18</f>
        <v>0</v>
      </c>
    </row>
    <row r="19" spans="1:18" s="54" customFormat="1" ht="15.75">
      <c r="A19" s="49">
        <v>4</v>
      </c>
      <c r="B19" s="107"/>
      <c r="C19" s="50"/>
      <c r="D19" s="51" t="s">
        <v>63</v>
      </c>
      <c r="E19" s="52"/>
      <c r="F19" s="53"/>
      <c r="G19" s="209"/>
      <c r="H19" s="209"/>
      <c r="I19" s="210"/>
      <c r="K19" s="151"/>
      <c r="L19" s="151"/>
      <c r="M19" s="153"/>
      <c r="N19" s="152"/>
      <c r="O19" s="152"/>
      <c r="P19" s="152"/>
      <c r="Q19" s="152"/>
    </row>
    <row r="20" spans="1:18" ht="139.15" customHeight="1">
      <c r="A20" s="11" t="s">
        <v>77</v>
      </c>
      <c r="B20" s="8" t="s">
        <v>71</v>
      </c>
      <c r="C20" s="46">
        <v>94289</v>
      </c>
      <c r="D20" s="48" t="s">
        <v>66</v>
      </c>
      <c r="E20" s="47" t="s">
        <v>15</v>
      </c>
      <c r="F20" s="162">
        <f>ROUND((62.98+2.34+61.28),2)+ROUND((2.38+62.14+2.37+61.95),2)+ROUND((2.35+61.83+2.36+61.99),2)+ROUND((2.35+62.53+2.36+62.59),2)+ROUND((2.34+63.4+2.38+63.51),2)+ROUND((59.04+59.04),2)</f>
        <v>763.5100000000001</v>
      </c>
      <c r="G20" s="197" t="s">
        <v>113</v>
      </c>
      <c r="H20" s="198"/>
      <c r="I20" s="199"/>
      <c r="K20" s="151"/>
      <c r="L20" s="151"/>
      <c r="M20" s="153"/>
      <c r="N20" s="2"/>
      <c r="O20" s="2"/>
      <c r="P20" s="2"/>
      <c r="Q20" s="2"/>
    </row>
    <row r="21" spans="1:18" ht="145.15" customHeight="1">
      <c r="A21" s="11" t="s">
        <v>83</v>
      </c>
      <c r="B21" s="141" t="s">
        <v>71</v>
      </c>
      <c r="C21" s="46">
        <v>94273</v>
      </c>
      <c r="D21" s="142" t="s">
        <v>78</v>
      </c>
      <c r="E21" s="47" t="s">
        <v>15</v>
      </c>
      <c r="F21" s="162">
        <f>ROUND((62.98+2.34+61.28+7.47),2)+ROUND((2.38+62.14+2.37+61.95+9.05),2)+ROUND((2.35+61.83+2.36+61.99+9),2)+ROUND((2.35+62.53+2.36+62.59+9),2)+ROUND((2.34+63.4+2.38+63.51+9),2)+ROUND((59.04+59.04+7+7),2)</f>
        <v>821.03000000000009</v>
      </c>
      <c r="G21" s="197" t="s">
        <v>115</v>
      </c>
      <c r="H21" s="198"/>
      <c r="I21" s="199"/>
      <c r="K21" s="154"/>
      <c r="L21" s="154"/>
      <c r="M21" s="151"/>
      <c r="N21" s="151"/>
      <c r="O21" s="151"/>
      <c r="P21" s="2"/>
      <c r="Q21" s="2"/>
    </row>
    <row r="22" spans="1:18" ht="27.6" customHeight="1">
      <c r="A22" s="16"/>
      <c r="B22" s="17"/>
      <c r="C22" s="17"/>
      <c r="D22" s="17"/>
      <c r="E22" s="17"/>
      <c r="F22" s="17"/>
      <c r="G22" s="17"/>
      <c r="H22" s="17"/>
      <c r="I22" s="18"/>
      <c r="K22" s="2"/>
      <c r="L22" s="2"/>
      <c r="M22" s="150"/>
      <c r="N22" s="2"/>
      <c r="O22" s="2"/>
      <c r="P22" s="2"/>
      <c r="Q22" s="2"/>
    </row>
    <row r="23" spans="1:18" ht="14.1" customHeight="1">
      <c r="A23" s="203"/>
      <c r="B23" s="204"/>
      <c r="C23" s="204"/>
      <c r="D23" s="204"/>
      <c r="E23" s="204"/>
      <c r="F23" s="204"/>
      <c r="G23" s="204"/>
      <c r="H23" s="204"/>
      <c r="I23" s="205"/>
      <c r="K23" s="2"/>
      <c r="L23" s="2"/>
      <c r="M23" s="153">
        <f>SUM(M12:M21)</f>
        <v>1202.49</v>
      </c>
      <c r="N23" s="2"/>
      <c r="O23" s="2"/>
      <c r="P23" s="2"/>
      <c r="Q23" s="2"/>
    </row>
    <row r="24" spans="1:18" ht="15.75">
      <c r="A24" s="206"/>
      <c r="B24" s="207"/>
      <c r="C24" s="207"/>
      <c r="D24" s="207"/>
      <c r="E24" s="207"/>
      <c r="F24" s="207"/>
      <c r="G24" s="207"/>
      <c r="H24" s="207"/>
      <c r="I24" s="208"/>
      <c r="J24" s="12"/>
      <c r="K24" s="2"/>
      <c r="L24" s="2"/>
      <c r="M24" s="2"/>
      <c r="N24" s="2"/>
      <c r="O24" s="2"/>
      <c r="P24" s="2"/>
      <c r="Q24" s="2"/>
    </row>
    <row r="25" spans="1:18" s="45" customFormat="1" ht="18" customHeight="1">
      <c r="A25" s="206"/>
      <c r="B25" s="207"/>
      <c r="C25" s="207"/>
      <c r="D25" s="207"/>
      <c r="E25" s="207"/>
      <c r="F25" s="207"/>
      <c r="G25" s="207"/>
      <c r="H25" s="207"/>
      <c r="I25" s="208"/>
      <c r="J25" s="90"/>
      <c r="K25" s="90"/>
      <c r="L25" s="90"/>
      <c r="M25" s="90"/>
      <c r="N25" s="90"/>
      <c r="O25" s="90"/>
      <c r="P25" s="90"/>
      <c r="Q25" s="90"/>
    </row>
    <row r="26" spans="1:18" ht="11.25" customHeight="1">
      <c r="A26" s="97"/>
      <c r="B26" s="98"/>
      <c r="C26" s="98"/>
      <c r="D26" s="98"/>
      <c r="E26" s="98"/>
      <c r="F26" s="98"/>
      <c r="G26" s="98"/>
      <c r="H26" s="98"/>
      <c r="I26" s="99"/>
      <c r="K26" s="2"/>
      <c r="L26" s="2"/>
      <c r="M26" s="2"/>
      <c r="N26" s="2"/>
      <c r="O26" s="2"/>
      <c r="P26" s="2"/>
      <c r="Q26" s="2"/>
    </row>
    <row r="27" spans="1:18" ht="12" customHeight="1">
      <c r="A27" s="95"/>
      <c r="B27" s="96"/>
      <c r="C27" s="98"/>
      <c r="D27" s="98"/>
      <c r="E27" s="98"/>
      <c r="F27" s="98"/>
      <c r="G27" s="98"/>
      <c r="H27" s="98"/>
      <c r="I27" s="99"/>
      <c r="K27" s="2"/>
      <c r="L27" s="2"/>
      <c r="M27" s="2"/>
      <c r="N27" s="2"/>
      <c r="O27" s="2"/>
      <c r="P27" s="2"/>
      <c r="Q27" s="2"/>
    </row>
    <row r="28" spans="1:18" ht="14.1" customHeight="1">
      <c r="A28" s="203"/>
      <c r="B28" s="204"/>
      <c r="C28" s="204"/>
      <c r="D28" s="204"/>
      <c r="E28" s="204"/>
      <c r="F28" s="204"/>
      <c r="G28" s="204"/>
      <c r="H28" s="204"/>
      <c r="I28" s="205"/>
      <c r="K28" s="2"/>
      <c r="L28" s="2"/>
      <c r="M28" s="2"/>
      <c r="N28" s="2"/>
      <c r="O28" s="2"/>
      <c r="P28" s="2"/>
      <c r="Q28" s="2"/>
    </row>
    <row r="29" spans="1:18" ht="14.25" customHeight="1">
      <c r="A29" s="206"/>
      <c r="B29" s="207"/>
      <c r="C29" s="207"/>
      <c r="D29" s="207"/>
      <c r="E29" s="207"/>
      <c r="F29" s="207"/>
      <c r="G29" s="207"/>
      <c r="H29" s="207"/>
      <c r="I29" s="208"/>
      <c r="J29" s="12"/>
      <c r="K29" s="2"/>
      <c r="L29" s="2"/>
      <c r="M29" s="2"/>
      <c r="N29" s="2"/>
      <c r="O29" s="2"/>
      <c r="P29" s="2"/>
      <c r="Q29" s="2"/>
    </row>
    <row r="30" spans="1:18" s="45" customFormat="1" ht="18.75" customHeight="1" thickBot="1">
      <c r="A30" s="229"/>
      <c r="B30" s="230"/>
      <c r="C30" s="230"/>
      <c r="D30" s="230"/>
      <c r="E30" s="230"/>
      <c r="F30" s="230"/>
      <c r="G30" s="230"/>
      <c r="H30" s="230"/>
      <c r="I30" s="231"/>
      <c r="J30" s="90"/>
      <c r="K30" s="90"/>
      <c r="L30" s="90"/>
      <c r="M30" s="90"/>
      <c r="N30" s="90"/>
      <c r="O30" s="90"/>
      <c r="P30" s="90"/>
      <c r="Q30" s="90"/>
    </row>
    <row r="31" spans="1:18" ht="15.75">
      <c r="A31" s="200"/>
      <c r="B31" s="201"/>
      <c r="C31" s="201"/>
      <c r="D31" s="201"/>
      <c r="E31" s="201"/>
      <c r="F31" s="201"/>
      <c r="G31" s="201"/>
      <c r="H31" s="201"/>
      <c r="I31" s="202"/>
      <c r="K31" s="2"/>
      <c r="L31" s="2"/>
      <c r="M31" s="2"/>
      <c r="N31" s="2"/>
      <c r="O31" s="2"/>
      <c r="P31" s="2"/>
      <c r="Q31" s="2"/>
    </row>
    <row r="32" spans="1:18" ht="15.75">
      <c r="A32" s="49"/>
      <c r="B32" s="107"/>
      <c r="C32" s="50"/>
      <c r="D32" s="51"/>
      <c r="E32" s="52"/>
      <c r="F32" s="53"/>
      <c r="G32" s="209"/>
      <c r="H32" s="209"/>
      <c r="I32" s="210"/>
      <c r="K32" s="2"/>
      <c r="L32" s="2"/>
      <c r="M32" s="2"/>
      <c r="N32" s="2"/>
      <c r="O32" s="2"/>
      <c r="P32" s="2"/>
      <c r="Q32" s="2"/>
    </row>
    <row r="33" spans="1:17" ht="15">
      <c r="A33" s="11"/>
      <c r="B33" s="92"/>
      <c r="C33" s="92"/>
      <c r="D33" s="93"/>
      <c r="E33" s="94"/>
      <c r="F33" s="39"/>
      <c r="G33" s="211"/>
      <c r="H33" s="211"/>
      <c r="I33" s="212"/>
      <c r="K33" s="2"/>
      <c r="L33" s="2"/>
      <c r="M33" s="2"/>
      <c r="N33" s="2"/>
      <c r="O33" s="2"/>
      <c r="P33" s="2"/>
      <c r="Q33" s="2"/>
    </row>
    <row r="34" spans="1:17" ht="15.6" customHeight="1">
      <c r="A34" s="11"/>
      <c r="B34" s="92"/>
      <c r="C34" s="92"/>
      <c r="D34" s="93"/>
      <c r="E34" s="94"/>
      <c r="F34" s="39"/>
      <c r="G34" s="192"/>
      <c r="H34" s="192"/>
      <c r="I34" s="193"/>
      <c r="K34" s="2"/>
      <c r="L34" s="2"/>
      <c r="M34" s="2"/>
      <c r="N34" s="2"/>
      <c r="O34" s="2"/>
      <c r="P34" s="2"/>
      <c r="Q34" s="2"/>
    </row>
    <row r="35" spans="1:17" ht="15">
      <c r="A35" s="11"/>
      <c r="B35" s="8"/>
      <c r="C35" s="92"/>
      <c r="D35" s="93"/>
      <c r="E35" s="4"/>
      <c r="F35" s="39"/>
      <c r="G35" s="192"/>
      <c r="H35" s="192"/>
      <c r="I35" s="193"/>
      <c r="K35" s="2"/>
      <c r="L35" s="2"/>
      <c r="M35" s="2"/>
      <c r="N35" s="2"/>
      <c r="O35" s="2"/>
      <c r="P35" s="2"/>
      <c r="Q35" s="2"/>
    </row>
    <row r="36" spans="1:17" ht="15">
      <c r="A36" s="11"/>
      <c r="B36" s="8"/>
      <c r="C36" s="8"/>
      <c r="D36" s="9"/>
      <c r="E36" s="4"/>
      <c r="F36" s="39"/>
      <c r="G36" s="192"/>
      <c r="H36" s="192"/>
      <c r="I36" s="193"/>
      <c r="K36" s="2"/>
      <c r="L36" s="2"/>
      <c r="M36" s="2"/>
      <c r="N36" s="2"/>
      <c r="O36" s="2"/>
      <c r="P36" s="2"/>
      <c r="Q36" s="2"/>
    </row>
    <row r="37" spans="1:17" ht="75" customHeight="1">
      <c r="A37" s="11"/>
      <c r="B37" s="8"/>
      <c r="C37" s="8"/>
      <c r="D37" s="9"/>
      <c r="E37" s="4"/>
      <c r="F37" s="5"/>
      <c r="G37" s="192"/>
      <c r="H37" s="192"/>
      <c r="I37" s="193"/>
    </row>
    <row r="38" spans="1:17" ht="15.75">
      <c r="A38" s="49"/>
      <c r="B38" s="107"/>
      <c r="C38" s="50"/>
      <c r="D38" s="51"/>
      <c r="E38" s="52"/>
      <c r="F38" s="53"/>
      <c r="G38" s="209"/>
      <c r="H38" s="209"/>
      <c r="I38" s="210"/>
    </row>
    <row r="39" spans="1:17" ht="15">
      <c r="A39" s="11"/>
      <c r="B39" s="8"/>
      <c r="C39" s="46"/>
      <c r="D39" s="48"/>
      <c r="E39" s="47"/>
      <c r="F39" s="5"/>
      <c r="G39" s="211"/>
      <c r="H39" s="211"/>
      <c r="I39" s="212"/>
    </row>
    <row r="40" spans="1:17" ht="16.5" thickBot="1">
      <c r="A40" s="40"/>
      <c r="B40" s="41"/>
      <c r="C40" s="41"/>
      <c r="D40" s="41"/>
      <c r="E40" s="41"/>
      <c r="F40" s="41"/>
      <c r="G40" s="41"/>
      <c r="H40" s="41"/>
      <c r="I40" s="42"/>
    </row>
    <row r="41" spans="1:17" ht="15.75">
      <c r="A41" s="219"/>
      <c r="B41" s="220"/>
      <c r="C41" s="220"/>
      <c r="D41" s="220"/>
      <c r="E41" s="220"/>
      <c r="F41" s="220"/>
      <c r="G41" s="220"/>
      <c r="H41" s="220"/>
      <c r="I41" s="221"/>
    </row>
    <row r="42" spans="1:17" ht="15.75">
      <c r="A42" s="49"/>
      <c r="B42" s="107"/>
      <c r="C42" s="50"/>
      <c r="D42" s="51"/>
      <c r="E42" s="52"/>
      <c r="F42" s="53"/>
      <c r="G42" s="209"/>
      <c r="H42" s="209"/>
      <c r="I42" s="210"/>
    </row>
    <row r="43" spans="1:17" ht="15">
      <c r="A43" s="11"/>
      <c r="B43" s="92"/>
      <c r="C43" s="92"/>
      <c r="D43" s="93"/>
      <c r="E43" s="94"/>
      <c r="F43" s="39"/>
      <c r="G43" s="211"/>
      <c r="H43" s="211"/>
      <c r="I43" s="212"/>
    </row>
    <row r="44" spans="1:17" ht="15.6" customHeight="1">
      <c r="A44" s="11"/>
      <c r="B44" s="92"/>
      <c r="C44" s="92"/>
      <c r="D44" s="93"/>
      <c r="E44" s="94"/>
      <c r="F44" s="39"/>
      <c r="G44" s="192"/>
      <c r="H44" s="192"/>
      <c r="I44" s="193"/>
    </row>
    <row r="45" spans="1:17" ht="15">
      <c r="A45" s="11"/>
      <c r="B45" s="8"/>
      <c r="C45" s="92"/>
      <c r="D45" s="93"/>
      <c r="E45" s="4"/>
      <c r="F45" s="39"/>
      <c r="G45" s="192"/>
      <c r="H45" s="192"/>
      <c r="I45" s="193"/>
    </row>
    <row r="46" spans="1:17" ht="15">
      <c r="A46" s="11"/>
      <c r="B46" s="8"/>
      <c r="C46" s="8"/>
      <c r="D46" s="9"/>
      <c r="E46" s="4"/>
      <c r="F46" s="39"/>
      <c r="G46" s="192"/>
      <c r="H46" s="192"/>
      <c r="I46" s="193"/>
    </row>
    <row r="47" spans="1:17" ht="15">
      <c r="A47" s="11"/>
      <c r="B47" s="8"/>
      <c r="C47" s="8"/>
      <c r="D47" s="9"/>
      <c r="E47" s="4"/>
      <c r="F47" s="5"/>
      <c r="G47" s="192"/>
      <c r="H47" s="192"/>
      <c r="I47" s="193"/>
    </row>
    <row r="48" spans="1:17" ht="15.75">
      <c r="A48" s="49"/>
      <c r="B48" s="107"/>
      <c r="C48" s="50"/>
      <c r="D48" s="51"/>
      <c r="E48" s="52"/>
      <c r="F48" s="53"/>
      <c r="G48" s="209"/>
      <c r="H48" s="209"/>
      <c r="I48" s="210"/>
    </row>
    <row r="49" spans="1:10" ht="15">
      <c r="A49" s="11"/>
      <c r="B49" s="8"/>
      <c r="C49" s="46"/>
      <c r="D49" s="48"/>
      <c r="E49" s="47"/>
      <c r="F49" s="5"/>
      <c r="G49" s="211"/>
      <c r="H49" s="211"/>
      <c r="I49" s="212"/>
    </row>
    <row r="50" spans="1:10">
      <c r="A50" s="14"/>
      <c r="I50" s="15"/>
    </row>
    <row r="51" spans="1:10" ht="15.75">
      <c r="A51" s="16"/>
      <c r="B51" s="17"/>
      <c r="C51" s="17"/>
      <c r="D51" s="17"/>
      <c r="E51" s="17"/>
      <c r="F51" s="17"/>
      <c r="G51" s="17"/>
      <c r="H51" s="17"/>
      <c r="I51" s="18"/>
    </row>
    <row r="52" spans="1:10" ht="11.25" customHeight="1">
      <c r="A52" s="226"/>
      <c r="B52" s="227"/>
      <c r="C52" s="227"/>
      <c r="D52" s="227"/>
      <c r="E52" s="227"/>
      <c r="F52" s="227"/>
      <c r="G52" s="227"/>
      <c r="H52" s="227"/>
      <c r="I52" s="228"/>
      <c r="J52" s="2"/>
    </row>
    <row r="53" spans="1:10" ht="15.75">
      <c r="A53" s="206"/>
      <c r="B53" s="207"/>
      <c r="C53" s="207"/>
      <c r="D53" s="207"/>
      <c r="E53" s="207"/>
      <c r="F53" s="207"/>
      <c r="G53" s="207"/>
      <c r="H53" s="207"/>
      <c r="I53" s="208"/>
      <c r="J53" s="12"/>
    </row>
    <row r="54" spans="1:10" ht="18" customHeight="1">
      <c r="A54" s="206"/>
      <c r="B54" s="207"/>
      <c r="C54" s="207"/>
      <c r="D54" s="207"/>
      <c r="E54" s="207"/>
      <c r="F54" s="207"/>
      <c r="G54" s="207"/>
      <c r="H54" s="207"/>
      <c r="I54" s="208"/>
      <c r="J54" s="2"/>
    </row>
    <row r="55" spans="1:10" ht="11.25" customHeight="1">
      <c r="A55" s="97"/>
      <c r="B55" s="98"/>
      <c r="C55" s="98"/>
      <c r="D55" s="98"/>
      <c r="E55" s="98"/>
      <c r="F55" s="98"/>
      <c r="G55" s="98"/>
      <c r="H55" s="98"/>
      <c r="I55" s="99"/>
    </row>
    <row r="56" spans="1:10" ht="12" customHeight="1">
      <c r="A56" s="95"/>
      <c r="B56" s="96"/>
      <c r="C56" s="98"/>
      <c r="D56" s="98"/>
      <c r="E56" s="98"/>
      <c r="F56" s="98"/>
      <c r="G56" s="98"/>
      <c r="H56" s="98"/>
      <c r="I56" s="99"/>
    </row>
    <row r="57" spans="1:10" ht="14.1" customHeight="1">
      <c r="A57" s="203"/>
      <c r="B57" s="204"/>
      <c r="C57" s="204"/>
      <c r="D57" s="204"/>
      <c r="E57" s="204"/>
      <c r="F57" s="204"/>
      <c r="G57" s="204"/>
      <c r="H57" s="204"/>
      <c r="I57" s="205"/>
    </row>
    <row r="58" spans="1:10" ht="14.25" customHeight="1">
      <c r="A58" s="206"/>
      <c r="B58" s="207"/>
      <c r="C58" s="207"/>
      <c r="D58" s="207"/>
      <c r="E58" s="207"/>
      <c r="F58" s="207"/>
      <c r="G58" s="207"/>
      <c r="H58" s="207"/>
      <c r="I58" s="208"/>
      <c r="J58" s="12"/>
    </row>
    <row r="59" spans="1:10" ht="18.75" customHeight="1">
      <c r="A59" s="206"/>
      <c r="B59" s="207"/>
      <c r="C59" s="207"/>
      <c r="D59" s="207"/>
      <c r="E59" s="207"/>
      <c r="F59" s="207"/>
      <c r="G59" s="207"/>
      <c r="H59" s="207"/>
      <c r="I59" s="208"/>
      <c r="J59" s="2"/>
    </row>
    <row r="60" spans="1:10" ht="13.5" thickBot="1">
      <c r="A60" s="21"/>
      <c r="B60" s="22"/>
      <c r="C60" s="22"/>
      <c r="D60" s="22"/>
      <c r="E60" s="22"/>
      <c r="F60" s="22"/>
      <c r="G60" s="22"/>
      <c r="H60" s="22"/>
      <c r="I60" s="23"/>
    </row>
  </sheetData>
  <mergeCells count="54">
    <mergeCell ref="G49:I49"/>
    <mergeCell ref="A59:I59"/>
    <mergeCell ref="G8:I8"/>
    <mergeCell ref="G9:I9"/>
    <mergeCell ref="G10:I10"/>
    <mergeCell ref="G12:I12"/>
    <mergeCell ref="A52:I52"/>
    <mergeCell ref="A53:I53"/>
    <mergeCell ref="A54:I54"/>
    <mergeCell ref="A57:I57"/>
    <mergeCell ref="A58:I58"/>
    <mergeCell ref="G19:I19"/>
    <mergeCell ref="A30:I30"/>
    <mergeCell ref="G44:I44"/>
    <mergeCell ref="G45:I45"/>
    <mergeCell ref="G13:I13"/>
    <mergeCell ref="G48:I48"/>
    <mergeCell ref="A5:E5"/>
    <mergeCell ref="F5:I5"/>
    <mergeCell ref="A6:E6"/>
    <mergeCell ref="F6:F7"/>
    <mergeCell ref="G6:G7"/>
    <mergeCell ref="A7:E7"/>
    <mergeCell ref="G43:I43"/>
    <mergeCell ref="G36:I36"/>
    <mergeCell ref="G37:I37"/>
    <mergeCell ref="G38:I38"/>
    <mergeCell ref="G39:I39"/>
    <mergeCell ref="G42:I42"/>
    <mergeCell ref="A41:I41"/>
    <mergeCell ref="G17:I17"/>
    <mergeCell ref="G34:I34"/>
    <mergeCell ref="G47:I47"/>
    <mergeCell ref="G18:I18"/>
    <mergeCell ref="G35:I35"/>
    <mergeCell ref="G21:I21"/>
    <mergeCell ref="A31:I31"/>
    <mergeCell ref="A23:I23"/>
    <mergeCell ref="A24:I24"/>
    <mergeCell ref="A25:I25"/>
    <mergeCell ref="A28:I28"/>
    <mergeCell ref="A29:I29"/>
    <mergeCell ref="G32:I32"/>
    <mergeCell ref="G33:I33"/>
    <mergeCell ref="G20:I20"/>
    <mergeCell ref="A1:I1"/>
    <mergeCell ref="A2:I2"/>
    <mergeCell ref="A3:I3"/>
    <mergeCell ref="G46:I46"/>
    <mergeCell ref="A4:G4"/>
    <mergeCell ref="G14:I14"/>
    <mergeCell ref="G16:I16"/>
    <mergeCell ref="G15:I15"/>
    <mergeCell ref="G11:I11"/>
  </mergeCells>
  <phoneticPr fontId="20" type="noConversion"/>
  <conditionalFormatting sqref="C14:C15">
    <cfRule type="expression" dxfId="0" priority="1" stopIfTrue="1">
      <formula>OR(#REF!="M",#REF!="A")</formula>
    </cfRule>
  </conditionalFormatting>
  <pageMargins left="0.7" right="0.7" top="0.75" bottom="0.75" header="0.3" footer="0.3"/>
  <pageSetup paperSize="9" scale="63" fitToHeight="0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2"/>
  <sheetViews>
    <sheetView showGridLines="0" showZeros="0" view="pageBreakPreview" topLeftCell="A22" zoomScale="70" zoomScaleNormal="100" zoomScaleSheetLayoutView="70" workbookViewId="0">
      <selection activeCell="A24" sqref="A24:I31"/>
    </sheetView>
  </sheetViews>
  <sheetFormatPr defaultColWidth="9.140625" defaultRowHeight="12.75"/>
  <cols>
    <col min="1" max="1" width="10.42578125" style="1" customWidth="1"/>
    <col min="2" max="2" width="15.140625" style="1" customWidth="1"/>
    <col min="3" max="3" width="11.5703125" style="1" bestFit="1" customWidth="1"/>
    <col min="4" max="4" width="73.140625" style="1" customWidth="1"/>
    <col min="5" max="5" width="12.28515625" style="1" customWidth="1"/>
    <col min="6" max="6" width="15.85546875" style="1" customWidth="1"/>
    <col min="7" max="8" width="14.85546875" style="1" bestFit="1" customWidth="1"/>
    <col min="9" max="9" width="19.42578125" style="1" bestFit="1" customWidth="1"/>
    <col min="10" max="10" width="10.5703125" style="1" customWidth="1"/>
    <col min="11" max="11" width="17.85546875" style="1" bestFit="1" customWidth="1"/>
    <col min="12" max="13" width="17.7109375" style="1" bestFit="1" customWidth="1"/>
    <col min="14" max="14" width="13.140625" style="1" bestFit="1" customWidth="1"/>
    <col min="15" max="15" width="14.140625" style="1" bestFit="1" customWidth="1"/>
    <col min="16" max="16" width="16.85546875" style="1" bestFit="1" customWidth="1"/>
    <col min="17" max="16384" width="9.140625" style="1"/>
  </cols>
  <sheetData>
    <row r="1" spans="1:16" ht="93" customHeight="1" thickBot="1">
      <c r="A1" s="183" t="s">
        <v>84</v>
      </c>
      <c r="B1" s="184"/>
      <c r="C1" s="184"/>
      <c r="D1" s="184"/>
      <c r="E1" s="184"/>
      <c r="F1" s="184"/>
      <c r="G1" s="184"/>
      <c r="H1" s="184"/>
      <c r="I1" s="185"/>
      <c r="J1" s="20"/>
      <c r="K1" s="19"/>
    </row>
    <row r="2" spans="1:16" ht="21.75" customHeight="1" thickBot="1">
      <c r="A2" s="236" t="s">
        <v>4</v>
      </c>
      <c r="B2" s="237"/>
      <c r="C2" s="237"/>
      <c r="D2" s="237"/>
      <c r="E2" s="237"/>
      <c r="F2" s="237"/>
      <c r="G2" s="237"/>
      <c r="H2" s="237"/>
      <c r="I2" s="238"/>
    </row>
    <row r="3" spans="1:16" ht="21.6" customHeight="1">
      <c r="A3" s="189" t="str">
        <f>'MEMÓRIAL DE CÁLCULO'!A3:F3</f>
        <v>PREFEITURA: PREFEITURA MUNICIPAL DE FELISBURGO-MG</v>
      </c>
      <c r="B3" s="190"/>
      <c r="C3" s="190"/>
      <c r="D3" s="190"/>
      <c r="E3" s="190"/>
      <c r="F3" s="190"/>
      <c r="G3" s="190"/>
      <c r="H3" s="190"/>
      <c r="I3" s="191"/>
    </row>
    <row r="4" spans="1:16" ht="21" customHeight="1">
      <c r="A4" s="213" t="str">
        <f>'MEMÓRIAL DE CÁLCULO'!A4:F4</f>
        <v>OBJETO: PAVIMENTAÇÃO EM BLOCO SEXTAVADO EM VIAS DO PERÍMETRO URBANO NO MUNICÍPIO DE FELISBURGO-MG</v>
      </c>
      <c r="B4" s="196"/>
      <c r="C4" s="214"/>
      <c r="D4" s="214"/>
      <c r="E4" s="214"/>
      <c r="F4" s="214"/>
      <c r="G4" s="6" t="str">
        <f>'MEMÓRIAL DE CÁLCULO'!H4</f>
        <v>DATA:</v>
      </c>
      <c r="H4" s="239">
        <f ca="1">'MEMÓRIAL DE CÁLCULO'!I4</f>
        <v>46225</v>
      </c>
      <c r="I4" s="240"/>
    </row>
    <row r="5" spans="1:16" ht="52.9" customHeight="1">
      <c r="A5" s="213" t="str">
        <f>'MEMÓRIAL DE CÁLCULO'!A5:E5</f>
        <v>LOCAL: RUA RIO BRANCO, RUA JOSÉ CAMPOS, RUA MANAUS, RUA BELÉM E RUA ISNALDO ALVES FERREIRA, BAIRRO CIDADE NOVA; RUA TEREZINA, BAIRRO BELA VISTA, FELISBURGO-MG</v>
      </c>
      <c r="B5" s="196"/>
      <c r="C5" s="214"/>
      <c r="D5" s="214"/>
      <c r="E5" s="214"/>
      <c r="F5" s="215" t="str">
        <f>'MEMÓRIAL DE CÁLCULO'!F5:I5</f>
        <v xml:space="preserve">FORMA DE EXECUÇÃO: </v>
      </c>
      <c r="G5" s="215"/>
      <c r="H5" s="215"/>
      <c r="I5" s="216"/>
    </row>
    <row r="6" spans="1:16" ht="40.15" customHeight="1">
      <c r="A6" s="217" t="str">
        <f>'MEMÓRIAL DE CÁLCULO'!A6:E6</f>
        <v>(REGIÃO/MÊS DE REFERÊNCIA):  SINAPI-MG 04/2026 NÃO DESONERADO  // SICOR-MG JEQUITINHONHA E MUCURI 01/2026 NÃO DESONERADO</v>
      </c>
      <c r="B6" s="235"/>
      <c r="C6" s="218"/>
      <c r="D6" s="218"/>
      <c r="E6" s="218"/>
      <c r="F6" s="215" t="str">
        <f>'MEMÓRIAL DE CÁLCULO'!F6:F7</f>
        <v>(    )</v>
      </c>
      <c r="G6" s="215" t="str">
        <f>'MEMÓRIAL DE CÁLCULO'!G6:G7</f>
        <v>DIRETA</v>
      </c>
      <c r="H6" s="6" t="str">
        <f>'MEMÓRIAL DE CÁLCULO'!H6</f>
        <v>(X)</v>
      </c>
      <c r="I6" s="44" t="str">
        <f>'MEMÓRIAL DE CÁLCULO'!I6</f>
        <v>INDIRETA</v>
      </c>
    </row>
    <row r="7" spans="1:16" ht="21.6" customHeight="1">
      <c r="A7" s="213" t="str">
        <f>'MEMÓRIAL DE CÁLCULO'!A7:E7</f>
        <v>PRAZO DE EXECUÇÃO: 04 MESES</v>
      </c>
      <c r="B7" s="196"/>
      <c r="C7" s="214"/>
      <c r="D7" s="214"/>
      <c r="E7" s="214"/>
      <c r="F7" s="215"/>
      <c r="G7" s="215"/>
      <c r="H7" s="7" t="str">
        <f>'MEMÓRIAL DE CÁLCULO'!H7</f>
        <v>BDI</v>
      </c>
      <c r="I7" s="10">
        <f>'MEMÓRIAL DE CÁLCULO'!I7</f>
        <v>0.24399999999999999</v>
      </c>
    </row>
    <row r="8" spans="1:16" ht="47.25">
      <c r="A8" s="115" t="str">
        <f>'MEMÓRIAL DE CÁLCULO'!A8</f>
        <v>ITEM</v>
      </c>
      <c r="B8" s="6" t="str">
        <f>'MEMÓRIAL DE CÁLCULO'!B8</f>
        <v>FONTE</v>
      </c>
      <c r="C8" s="6" t="str">
        <f>'MEMÓRIAL DE CÁLCULO'!C8</f>
        <v>CÓDIGO</v>
      </c>
      <c r="D8" s="6" t="str">
        <f>'MEMÓRIAL DE CÁLCULO'!D8</f>
        <v>DESCRIÇÃO</v>
      </c>
      <c r="E8" s="6" t="str">
        <f>'MEMÓRIAL DE CÁLCULO'!E8</f>
        <v>UNIDADE</v>
      </c>
      <c r="F8" s="6" t="str">
        <f>'MEMÓRIAL DE CÁLCULO'!F8</f>
        <v>QUANTIDADE</v>
      </c>
      <c r="G8" s="3" t="s">
        <v>18</v>
      </c>
      <c r="H8" s="3" t="s">
        <v>19</v>
      </c>
      <c r="I8" s="116" t="s">
        <v>9</v>
      </c>
    </row>
    <row r="9" spans="1:16" s="54" customFormat="1" ht="18" customHeight="1">
      <c r="A9" s="49">
        <f>'MEMÓRIAL DE CÁLCULO'!A9</f>
        <v>1</v>
      </c>
      <c r="B9" s="107">
        <f>'MEMÓRIAL DE CÁLCULO'!B9</f>
        <v>0</v>
      </c>
      <c r="C9" s="107">
        <f>'MEMÓRIAL DE CÁLCULO'!C9</f>
        <v>0</v>
      </c>
      <c r="D9" s="51" t="str">
        <f>'MEMÓRIAL DE CÁLCULO'!D9</f>
        <v>SERVIÇOS PRELIMINARES</v>
      </c>
      <c r="E9" s="107">
        <f>'MEMÓRIAL DE CÁLCULO'!E9</f>
        <v>0</v>
      </c>
      <c r="F9" s="53"/>
      <c r="G9" s="53"/>
      <c r="H9" s="53"/>
      <c r="I9" s="38">
        <f>ROUND((SUM(I10:I11)),2)</f>
        <v>4199.91</v>
      </c>
    </row>
    <row r="10" spans="1:16" ht="45">
      <c r="A10" s="11" t="str">
        <f>'MEMÓRIAL DE CÁLCULO'!A10</f>
        <v>1.1</v>
      </c>
      <c r="B10" s="8" t="str">
        <f>'MEMÓRIAL DE CÁLCULO'!B10</f>
        <v>SINAPI</v>
      </c>
      <c r="C10" s="8">
        <f>'MEMÓRIAL DE CÁLCULO'!C10</f>
        <v>103689</v>
      </c>
      <c r="D10" s="9" t="str">
        <f>'MEMÓRIAL DE CÁLCULO'!D10</f>
        <v>FORNECIMENTO E INSTALAÇÃO DE PLACA DE OBRA COM CHAPA GALVANIZADA E ESTRUTURA DE MADEIRA. AF_03/2022_PS</v>
      </c>
      <c r="E10" s="8" t="str">
        <f>'MEMÓRIAL DE CÁLCULO'!E10</f>
        <v>M2</v>
      </c>
      <c r="F10" s="144">
        <f>'MEMÓRIAL DE CÁLCULO'!F10</f>
        <v>4.5</v>
      </c>
      <c r="G10" s="104">
        <v>377.85</v>
      </c>
      <c r="H10" s="104">
        <f>ROUND((G10*(1+$I$7)),2)</f>
        <v>470.05</v>
      </c>
      <c r="I10" s="117">
        <f>ROUND((F10*H10),2)</f>
        <v>2115.23</v>
      </c>
      <c r="K10" s="105">
        <f>ROUND((H10*N10),2)</f>
        <v>2115.23</v>
      </c>
      <c r="M10" s="43"/>
      <c r="N10" s="112">
        <v>4.5</v>
      </c>
      <c r="O10" s="143">
        <f>F10-N10</f>
        <v>0</v>
      </c>
      <c r="P10" s="165">
        <f>ROUND((H10*N10),2)</f>
        <v>2115.23</v>
      </c>
    </row>
    <row r="11" spans="1:16" ht="30">
      <c r="A11" s="11" t="str">
        <f>'MEMÓRIAL DE CÁLCULO'!A11</f>
        <v>1.2</v>
      </c>
      <c r="B11" s="8" t="str">
        <f>'MEMÓRIAL DE CÁLCULO'!B11</f>
        <v>SICOR-MG</v>
      </c>
      <c r="C11" s="8" t="str">
        <f>'MEMÓRIAL DE CÁLCULO'!C11</f>
        <v>ED-50276</v>
      </c>
      <c r="D11" s="9" t="str">
        <f>'MEMÓRIAL DE CÁLCULO'!D11</f>
        <v>LOCAÇÃO TOPOGRÁFICA ACIMA DE CINQUENTA (50) PONTOS REFERENCIAIS, INCLUSIVE ESTACA (PIQUETE) DE MARCAÇÃO</v>
      </c>
      <c r="E11" s="8" t="str">
        <f>'MEMÓRIAL DE CÁLCULO'!E11</f>
        <v>UNID</v>
      </c>
      <c r="F11" s="144">
        <f>'MEMÓRIAL DE CÁLCULO'!F11</f>
        <v>38</v>
      </c>
      <c r="G11" s="104">
        <v>44.1</v>
      </c>
      <c r="H11" s="104">
        <f>ROUND((G11*(1+$I$7)),2)</f>
        <v>54.86</v>
      </c>
      <c r="I11" s="117">
        <f>ROUND((F11*H11),2)</f>
        <v>2084.6799999999998</v>
      </c>
      <c r="K11" s="105">
        <f t="shared" ref="K11:K21" si="0">ROUND((H11*N11),2)</f>
        <v>2084.6799999999998</v>
      </c>
      <c r="M11" s="43"/>
      <c r="N11" s="112">
        <v>38</v>
      </c>
      <c r="O11" s="143"/>
      <c r="P11" s="165">
        <f t="shared" ref="P11:P21" si="1">ROUND((H11*N11),2)</f>
        <v>2084.6799999999998</v>
      </c>
    </row>
    <row r="12" spans="1:16" s="54" customFormat="1" ht="15.75">
      <c r="A12" s="49">
        <f>'MEMÓRIAL DE CÁLCULO'!A12</f>
        <v>2</v>
      </c>
      <c r="B12" s="107">
        <f>'MEMÓRIAL DE CÁLCULO'!B12</f>
        <v>0</v>
      </c>
      <c r="C12" s="107">
        <f>'MEMÓRIAL DE CÁLCULO'!C12</f>
        <v>0</v>
      </c>
      <c r="D12" s="51" t="str">
        <f>'MEMÓRIAL DE CÁLCULO'!D12</f>
        <v>TERRAPLANAGEM</v>
      </c>
      <c r="E12" s="107">
        <f>'MEMÓRIAL DE CÁLCULO'!E12</f>
        <v>0</v>
      </c>
      <c r="F12" s="145"/>
      <c r="G12" s="53"/>
      <c r="H12" s="53"/>
      <c r="I12" s="38">
        <f>ROUND((SUM(I13:I16)),2)</f>
        <v>27505.29</v>
      </c>
      <c r="K12" s="105">
        <f t="shared" si="0"/>
        <v>0</v>
      </c>
      <c r="L12" s="56"/>
      <c r="M12" s="55"/>
      <c r="N12" s="113"/>
      <c r="O12" s="143">
        <f t="shared" ref="O12:O21" si="2">F12-N12</f>
        <v>0</v>
      </c>
      <c r="P12" s="165">
        <f t="shared" si="1"/>
        <v>0</v>
      </c>
    </row>
    <row r="13" spans="1:16" ht="45">
      <c r="A13" s="11" t="str">
        <f>'MEMÓRIAL DE CÁLCULO'!A13</f>
        <v>2.1</v>
      </c>
      <c r="B13" s="8" t="str">
        <f>'MEMÓRIAL DE CÁLCULO'!B13</f>
        <v>SINAPI</v>
      </c>
      <c r="C13" s="8">
        <f>'MEMÓRIAL DE CÁLCULO'!C13</f>
        <v>100576</v>
      </c>
      <c r="D13" s="9" t="str">
        <f>'MEMÓRIAL DE CÁLCULO'!D13</f>
        <v>REGULARIZAÇÃO E COMPACTAÇÃO DE SUBLEITO DE SOLO PREDOMINANTEMENTE ARGILOSO, PARA OBRAS DE CONSTRUÇÃO DE PAVIMENTOS. AF_09/2024</v>
      </c>
      <c r="E13" s="8" t="str">
        <f>'MEMÓRIAL DE CÁLCULO'!E13</f>
        <v>M2</v>
      </c>
      <c r="F13" s="144">
        <f>'MEMÓRIAL DE CÁLCULO'!F13</f>
        <v>2348.94</v>
      </c>
      <c r="G13" s="104">
        <v>3.06</v>
      </c>
      <c r="H13" s="104">
        <f>ROUND((G13*(1+$I$7)),2)</f>
        <v>3.81</v>
      </c>
      <c r="I13" s="117">
        <f>ROUND((F13*H13),2)</f>
        <v>8949.4599999999991</v>
      </c>
      <c r="K13" s="105">
        <f t="shared" si="0"/>
        <v>8949.4599999999991</v>
      </c>
      <c r="M13" s="43"/>
      <c r="N13" s="112">
        <v>2348.94</v>
      </c>
      <c r="O13" s="143">
        <f t="shared" si="2"/>
        <v>0</v>
      </c>
      <c r="P13" s="165">
        <f t="shared" si="1"/>
        <v>8949.4599999999991</v>
      </c>
    </row>
    <row r="14" spans="1:16" ht="45">
      <c r="A14" s="11" t="str">
        <f>'MEMÓRIAL DE CÁLCULO'!A14</f>
        <v>2.2</v>
      </c>
      <c r="B14" s="8" t="str">
        <f>'MEMÓRIAL DE CÁLCULO'!B14</f>
        <v>SINAPI</v>
      </c>
      <c r="C14" s="8">
        <f>'MEMÓRIAL DE CÁLCULO'!C14</f>
        <v>101124</v>
      </c>
      <c r="D14" s="9" t="str">
        <f>'MEMÓRIAL DE CÁLCULO'!D14</f>
        <v>ESCAVAÇÃO HORIZONTAL, INCLUINDO CARGA E DESCARGA EM SOLO DE 1A CATEGORIA COM TRATOR DE ESTEIRAS (100HP/LÂMINA: 2,19M3). AF_07/2020</v>
      </c>
      <c r="E14" s="8" t="str">
        <f>'MEMÓRIAL DE CÁLCULO'!E14</f>
        <v>M3</v>
      </c>
      <c r="F14" s="144">
        <f>'MEMÓRIAL DE CÁLCULO'!F14</f>
        <v>234.89</v>
      </c>
      <c r="G14" s="104">
        <v>16</v>
      </c>
      <c r="H14" s="104">
        <f t="shared" ref="H14:H16" si="3">ROUND((G14*(1+$I$7)),2)</f>
        <v>19.899999999999999</v>
      </c>
      <c r="I14" s="117">
        <f t="shared" ref="I14:I16" si="4">ROUND((F14*H14),2)</f>
        <v>4674.3100000000004</v>
      </c>
      <c r="K14" s="105">
        <f t="shared" si="0"/>
        <v>4674.3100000000004</v>
      </c>
      <c r="M14" s="43"/>
      <c r="N14" s="112">
        <v>234.89</v>
      </c>
      <c r="O14" s="143">
        <f t="shared" si="2"/>
        <v>0</v>
      </c>
      <c r="P14" s="165">
        <f t="shared" si="1"/>
        <v>4674.3100000000004</v>
      </c>
    </row>
    <row r="15" spans="1:16" ht="30">
      <c r="A15" s="11" t="str">
        <f>'MEMÓRIAL DE CÁLCULO'!A15</f>
        <v>2.3</v>
      </c>
      <c r="B15" s="8" t="str">
        <f>'MEMÓRIAL DE CÁLCULO'!B15</f>
        <v>SINAPI</v>
      </c>
      <c r="C15" s="8">
        <f>'MEMÓRIAL DE CÁLCULO'!C15</f>
        <v>95425</v>
      </c>
      <c r="D15" s="9" t="str">
        <f>'MEMÓRIAL DE CÁLCULO'!D15</f>
        <v>TRANSPORTE COM CAMINHÃO BASCULANTE DE 18 M³, EM VIA URBANA EM LEITO NATURAL (UNIDADE: M3XKM). AF_07/2020</v>
      </c>
      <c r="E15" s="8" t="str">
        <f>'MEMÓRIAL DE CÁLCULO'!E15</f>
        <v>M3XKM</v>
      </c>
      <c r="F15" s="144">
        <f>'MEMÓRIAL DE CÁLCULO'!F15</f>
        <v>1127.47</v>
      </c>
      <c r="G15" s="104">
        <v>3.14</v>
      </c>
      <c r="H15" s="104">
        <f t="shared" si="3"/>
        <v>3.91</v>
      </c>
      <c r="I15" s="117">
        <f t="shared" si="4"/>
        <v>4408.41</v>
      </c>
      <c r="K15" s="105">
        <f t="shared" si="0"/>
        <v>4408.41</v>
      </c>
      <c r="M15" s="43"/>
      <c r="N15" s="112">
        <v>1127.47</v>
      </c>
      <c r="O15" s="143"/>
      <c r="P15" s="165">
        <f t="shared" si="1"/>
        <v>4408.41</v>
      </c>
    </row>
    <row r="16" spans="1:16" ht="60">
      <c r="A16" s="11" t="str">
        <f>'MEMÓRIAL DE CÁLCULO'!A16</f>
        <v>2.4</v>
      </c>
      <c r="B16" s="8" t="str">
        <f>'MEMÓRIAL DE CÁLCULO'!B16</f>
        <v>SINAPI</v>
      </c>
      <c r="C16" s="8">
        <f>'MEMÓRIAL DE CÁLCULO'!C16</f>
        <v>101767</v>
      </c>
      <c r="D16" s="9" t="str">
        <f>'MEMÓRIAL DE CÁLCULO'!D16</f>
        <v>CONSTRUÇÃO DE BASE E SUB-BASE PARA PAVIMENTAÇÃO DE SOLO ESTABILIZADO GRANULOMETRICAMENTE COM MISTURA DE SOLOS EM PISTA - EXCLUSIVE SOLO, ESCAVAÇÃO, CARGA E TRANSPORTE. AF_09/2024</v>
      </c>
      <c r="E16" s="8" t="str">
        <f>'MEMÓRIAL DE CÁLCULO'!E16</f>
        <v>M3</v>
      </c>
      <c r="F16" s="144">
        <f>'MEMÓRIAL DE CÁLCULO'!F16</f>
        <v>234.89</v>
      </c>
      <c r="G16" s="104">
        <v>32.42</v>
      </c>
      <c r="H16" s="104">
        <f t="shared" si="3"/>
        <v>40.33</v>
      </c>
      <c r="I16" s="117">
        <f t="shared" si="4"/>
        <v>9473.11</v>
      </c>
      <c r="K16" s="105">
        <f t="shared" si="0"/>
        <v>9473.11</v>
      </c>
      <c r="M16" s="43"/>
      <c r="N16" s="112">
        <v>234.89</v>
      </c>
      <c r="O16" s="143">
        <f t="shared" si="2"/>
        <v>0</v>
      </c>
      <c r="P16" s="165">
        <f t="shared" si="1"/>
        <v>9473.11</v>
      </c>
    </row>
    <row r="17" spans="1:16" s="54" customFormat="1" ht="15.75">
      <c r="A17" s="49">
        <f>'MEMÓRIAL DE CÁLCULO'!A17</f>
        <v>3</v>
      </c>
      <c r="B17" s="107"/>
      <c r="C17" s="107"/>
      <c r="D17" s="51" t="str">
        <f>'MEMÓRIAL DE CÁLCULO'!D17</f>
        <v>PAVIMENTAÇÃO</v>
      </c>
      <c r="E17" s="107"/>
      <c r="F17" s="145"/>
      <c r="G17" s="53"/>
      <c r="H17" s="53"/>
      <c r="I17" s="38">
        <f>ROUND((SUM(I18)),2)</f>
        <v>261870.96</v>
      </c>
      <c r="K17" s="105">
        <f t="shared" si="0"/>
        <v>0</v>
      </c>
      <c r="L17" s="56"/>
      <c r="M17" s="55"/>
      <c r="N17" s="113"/>
      <c r="O17" s="143">
        <f t="shared" si="2"/>
        <v>0</v>
      </c>
      <c r="P17" s="165">
        <f t="shared" si="1"/>
        <v>0</v>
      </c>
    </row>
    <row r="18" spans="1:16" ht="45">
      <c r="A18" s="11" t="str">
        <f>'MEMÓRIAL DE CÁLCULO'!A18</f>
        <v>3.1</v>
      </c>
      <c r="B18" s="8" t="str">
        <f>'MEMÓRIAL DE CÁLCULO'!B18</f>
        <v>SINAPI</v>
      </c>
      <c r="C18" s="8">
        <f>'MEMÓRIAL DE CÁLCULO'!C18</f>
        <v>92394</v>
      </c>
      <c r="D18" s="9" t="str">
        <f>'MEMÓRIAL DE CÁLCULO'!D18</f>
        <v>EXECUÇÃO DE PAVIMENTO EM PISO INTERTRAVADO, COM BLOCO SEXTAVADO DE 25 X 25 CM, ESPESSURA 8 CM. AF_10/2022</v>
      </c>
      <c r="E18" s="8" t="str">
        <f>'MEMÓRIAL DE CÁLCULO'!E18</f>
        <v>M2</v>
      </c>
      <c r="F18" s="144">
        <f>'MEMÓRIAL DE CÁLCULO'!F18</f>
        <v>2003.91</v>
      </c>
      <c r="G18" s="104">
        <v>105.05</v>
      </c>
      <c r="H18" s="104">
        <f>ROUND((G18*(1+$I$7)),2)</f>
        <v>130.68</v>
      </c>
      <c r="I18" s="117">
        <f>ROUND((F18*H18),2)</f>
        <v>261870.96</v>
      </c>
      <c r="K18" s="105">
        <f t="shared" si="0"/>
        <v>261870.96</v>
      </c>
      <c r="M18" s="43"/>
      <c r="N18" s="112">
        <v>2003.91</v>
      </c>
      <c r="O18" s="143">
        <f t="shared" si="2"/>
        <v>0</v>
      </c>
      <c r="P18" s="165">
        <f t="shared" si="1"/>
        <v>261870.96</v>
      </c>
    </row>
    <row r="19" spans="1:16" s="54" customFormat="1" ht="18" customHeight="1">
      <c r="A19" s="49">
        <f>'MEMÓRIAL DE CÁLCULO'!A19</f>
        <v>4</v>
      </c>
      <c r="B19" s="107">
        <f>'MEMÓRIAL DE CÁLCULO'!B19</f>
        <v>0</v>
      </c>
      <c r="C19" s="107">
        <f>'MEMÓRIAL DE CÁLCULO'!C19</f>
        <v>0</v>
      </c>
      <c r="D19" s="51" t="str">
        <f>'MEMÓRIAL DE CÁLCULO'!D19</f>
        <v>OBRAS COMPLEMENTARES DE PAVIMENTAÇÃO</v>
      </c>
      <c r="E19" s="107">
        <f>'MEMÓRIAL DE CÁLCULO'!E19</f>
        <v>0</v>
      </c>
      <c r="F19" s="145"/>
      <c r="G19" s="53"/>
      <c r="H19" s="53"/>
      <c r="I19" s="38">
        <f>ROUND((SUM(I20:I21)),2)</f>
        <v>116635.64</v>
      </c>
      <c r="K19" s="105">
        <f t="shared" si="0"/>
        <v>0</v>
      </c>
      <c r="M19" s="55"/>
      <c r="N19" s="113"/>
      <c r="O19" s="143">
        <f t="shared" si="2"/>
        <v>0</v>
      </c>
      <c r="P19" s="165">
        <f t="shared" si="1"/>
        <v>0</v>
      </c>
    </row>
    <row r="20" spans="1:16" ht="45">
      <c r="A20" s="11" t="str">
        <f>'MEMÓRIAL DE CÁLCULO'!A20</f>
        <v>4.1</v>
      </c>
      <c r="B20" s="8" t="str">
        <f>'MEMÓRIAL DE CÁLCULO'!B20</f>
        <v>SINAPI</v>
      </c>
      <c r="C20" s="8">
        <f>'MEMÓRIAL DE CÁLCULO'!C20</f>
        <v>94289</v>
      </c>
      <c r="D20" s="9" t="str">
        <f>'MEMÓRIAL DE CÁLCULO'!D20</f>
        <v>EXECUÇÃO DE SARJETA DE CONCRETO USINADO, MOLDADA  IN LOCO  EM TRECHO RETO, 45 CM BASE X 10 CM ALTURA. AF_01/2024</v>
      </c>
      <c r="E20" s="8" t="str">
        <f>'MEMÓRIAL DE CÁLCULO'!E20</f>
        <v>M</v>
      </c>
      <c r="F20" s="144">
        <f>'MEMÓRIAL DE CÁLCULO'!F20</f>
        <v>763.5100000000001</v>
      </c>
      <c r="G20" s="104">
        <v>49.11</v>
      </c>
      <c r="H20" s="104">
        <f>ROUND((G20*(1+$I$7)),2)</f>
        <v>61.09</v>
      </c>
      <c r="I20" s="117">
        <f>ROUND((F20*H20),2)</f>
        <v>46642.83</v>
      </c>
      <c r="K20" s="105">
        <f t="shared" si="0"/>
        <v>46642.83</v>
      </c>
      <c r="L20" s="106"/>
      <c r="M20" s="43"/>
      <c r="N20" s="112">
        <v>763.5100000000001</v>
      </c>
      <c r="O20" s="143">
        <f t="shared" ref="O20" si="5">F20-N20</f>
        <v>0</v>
      </c>
      <c r="P20" s="165">
        <f t="shared" si="1"/>
        <v>46642.83</v>
      </c>
    </row>
    <row r="21" spans="1:16" ht="60">
      <c r="A21" s="11" t="str">
        <f>'MEMÓRIAL DE CÁLCULO'!A21</f>
        <v>4.2</v>
      </c>
      <c r="B21" s="8" t="str">
        <f>'MEMÓRIAL DE CÁLCULO'!B21</f>
        <v>SINAPI</v>
      </c>
      <c r="C21" s="8">
        <f>'MEMÓRIAL DE CÁLCULO'!C21</f>
        <v>94273</v>
      </c>
      <c r="D21" s="9" t="str">
        <f>'MEMÓRIAL DE CÁLCULO'!D21</f>
        <v>ASSENTAMENTO DE GUIA (MEIO-FIO) EM TRECHO RETO, CONFECCIONADA EM CONCRETO PRÉ-FABRICADO, DIMENSÕES 100X15X13X30 CM (COMPRIMENTO X BASE INFERIOR X BASE SUPERIOR X ALTURA). AF_01/2024</v>
      </c>
      <c r="E21" s="8" t="str">
        <f>'MEMÓRIAL DE CÁLCULO'!E21</f>
        <v>M</v>
      </c>
      <c r="F21" s="144">
        <f>'MEMÓRIAL DE CÁLCULO'!F21</f>
        <v>821.03000000000009</v>
      </c>
      <c r="G21" s="104">
        <v>68.53</v>
      </c>
      <c r="H21" s="104">
        <f>ROUND((G21*(1+$I$7)),2)</f>
        <v>85.25</v>
      </c>
      <c r="I21" s="117">
        <f>ROUND((F21*H21),2)</f>
        <v>69992.81</v>
      </c>
      <c r="K21" s="105">
        <f t="shared" si="0"/>
        <v>69992.81</v>
      </c>
      <c r="L21" s="106"/>
      <c r="M21" s="43"/>
      <c r="N21" s="112">
        <v>821.03000000000009</v>
      </c>
      <c r="O21" s="143">
        <f t="shared" si="2"/>
        <v>0</v>
      </c>
      <c r="P21" s="165">
        <f t="shared" si="1"/>
        <v>69992.81</v>
      </c>
    </row>
    <row r="22" spans="1:16" s="54" customFormat="1" ht="18" customHeight="1">
      <c r="A22" s="232" t="s">
        <v>87</v>
      </c>
      <c r="B22" s="233"/>
      <c r="C22" s="233"/>
      <c r="D22" s="233"/>
      <c r="E22" s="233"/>
      <c r="F22" s="233"/>
      <c r="G22" s="233"/>
      <c r="H22" s="234"/>
      <c r="I22" s="38">
        <f>ROUND((SUM(I9,I12,I17,I19)),2)</f>
        <v>410211.8</v>
      </c>
      <c r="K22" s="105"/>
      <c r="M22" s="55"/>
      <c r="N22" s="113"/>
      <c r="O22" s="143">
        <f>F22-N22</f>
        <v>0</v>
      </c>
      <c r="P22" s="165">
        <f t="shared" ref="P22" si="6">ROUND((H22*N22),2)</f>
        <v>0</v>
      </c>
    </row>
    <row r="23" spans="1:16" ht="15.75">
      <c r="A23" s="16"/>
      <c r="B23" s="17"/>
      <c r="C23" s="17"/>
      <c r="D23" s="17"/>
      <c r="E23" s="17"/>
      <c r="F23" s="17"/>
      <c r="G23" s="17"/>
      <c r="H23" s="17"/>
      <c r="I23" s="18"/>
      <c r="K23" s="108">
        <f>SUM(K9:K21)</f>
        <v>410211.8</v>
      </c>
      <c r="L23" s="1">
        <f t="shared" ref="L23:L32" si="7">H23*F23</f>
        <v>0</v>
      </c>
      <c r="P23" s="108">
        <f>SUM(P9:P22)</f>
        <v>410211.8</v>
      </c>
    </row>
    <row r="24" spans="1:16" ht="14.1" customHeight="1">
      <c r="A24" s="203"/>
      <c r="B24" s="204"/>
      <c r="C24" s="204"/>
      <c r="D24" s="204"/>
      <c r="E24" s="204"/>
      <c r="F24" s="204"/>
      <c r="G24" s="204"/>
      <c r="H24" s="204"/>
      <c r="I24" s="205"/>
      <c r="K24" s="147">
        <f>I22-K23</f>
        <v>0</v>
      </c>
      <c r="L24" s="1">
        <f t="shared" ref="L24" si="8">H24*F24</f>
        <v>0</v>
      </c>
      <c r="O24" s="108">
        <f>SUM(O10:O21)</f>
        <v>0</v>
      </c>
      <c r="P24" s="146">
        <f>I22-P23</f>
        <v>0</v>
      </c>
    </row>
    <row r="25" spans="1:16" ht="15.75">
      <c r="A25" s="206"/>
      <c r="B25" s="207"/>
      <c r="C25" s="207"/>
      <c r="D25" s="207"/>
      <c r="E25" s="207"/>
      <c r="F25" s="207"/>
      <c r="G25" s="207"/>
      <c r="H25" s="207"/>
      <c r="I25" s="208"/>
      <c r="J25" s="12"/>
      <c r="K25" s="13"/>
      <c r="L25" s="1">
        <f t="shared" si="7"/>
        <v>0</v>
      </c>
      <c r="M25" s="146"/>
    </row>
    <row r="26" spans="1:16" s="45" customFormat="1" ht="18" customHeight="1">
      <c r="A26" s="206"/>
      <c r="B26" s="207"/>
      <c r="C26" s="207"/>
      <c r="D26" s="207"/>
      <c r="E26" s="207"/>
      <c r="F26" s="207"/>
      <c r="G26" s="207"/>
      <c r="H26" s="207"/>
      <c r="I26" s="208"/>
      <c r="J26" s="90"/>
      <c r="K26" s="91"/>
      <c r="L26" s="45">
        <f t="shared" si="7"/>
        <v>0</v>
      </c>
    </row>
    <row r="27" spans="1:16" ht="11.25" customHeight="1">
      <c r="A27" s="97"/>
      <c r="B27" s="98"/>
      <c r="C27" s="98"/>
      <c r="D27" s="98"/>
      <c r="E27" s="98"/>
      <c r="F27" s="98"/>
      <c r="G27" s="98"/>
      <c r="H27" s="98"/>
      <c r="I27" s="99"/>
      <c r="K27" s="15"/>
      <c r="L27" s="1">
        <f t="shared" si="7"/>
        <v>0</v>
      </c>
    </row>
    <row r="28" spans="1:16" ht="12" customHeight="1">
      <c r="A28" s="95"/>
      <c r="B28" s="96"/>
      <c r="C28" s="98"/>
      <c r="D28" s="98"/>
      <c r="E28" s="98"/>
      <c r="F28" s="98"/>
      <c r="G28" s="98"/>
      <c r="H28" s="98"/>
      <c r="I28" s="99"/>
      <c r="K28" s="15"/>
      <c r="L28" s="1">
        <f t="shared" si="7"/>
        <v>0</v>
      </c>
    </row>
    <row r="29" spans="1:16" ht="14.1" customHeight="1">
      <c r="A29" s="203"/>
      <c r="B29" s="204"/>
      <c r="C29" s="204"/>
      <c r="D29" s="204"/>
      <c r="E29" s="204"/>
      <c r="F29" s="204"/>
      <c r="G29" s="204"/>
      <c r="H29" s="204"/>
      <c r="I29" s="205"/>
      <c r="K29" s="15"/>
      <c r="L29" s="1">
        <f t="shared" si="7"/>
        <v>0</v>
      </c>
    </row>
    <row r="30" spans="1:16" ht="14.25" customHeight="1">
      <c r="A30" s="206"/>
      <c r="B30" s="207"/>
      <c r="C30" s="207"/>
      <c r="D30" s="207"/>
      <c r="E30" s="207"/>
      <c r="F30" s="207"/>
      <c r="G30" s="207"/>
      <c r="H30" s="207"/>
      <c r="I30" s="208"/>
      <c r="J30" s="12"/>
      <c r="K30" s="13"/>
      <c r="L30" s="1">
        <f t="shared" si="7"/>
        <v>0</v>
      </c>
    </row>
    <row r="31" spans="1:16" s="45" customFormat="1" ht="18.75" customHeight="1">
      <c r="A31" s="206"/>
      <c r="B31" s="207"/>
      <c r="C31" s="207"/>
      <c r="D31" s="207"/>
      <c r="E31" s="207"/>
      <c r="F31" s="207"/>
      <c r="G31" s="207"/>
      <c r="H31" s="207"/>
      <c r="I31" s="208"/>
      <c r="J31" s="90"/>
      <c r="K31" s="91"/>
      <c r="L31" s="45">
        <f t="shared" si="7"/>
        <v>0</v>
      </c>
    </row>
    <row r="32" spans="1:16" ht="17.25" customHeight="1" thickBot="1">
      <c r="A32" s="100"/>
      <c r="B32" s="101"/>
      <c r="C32" s="230"/>
      <c r="D32" s="230"/>
      <c r="E32" s="101"/>
      <c r="F32" s="230"/>
      <c r="G32" s="230"/>
      <c r="H32" s="102"/>
      <c r="I32" s="103"/>
      <c r="L32" s="1">
        <f t="shared" si="7"/>
        <v>0</v>
      </c>
    </row>
  </sheetData>
  <mergeCells count="20">
    <mergeCell ref="A22:H22"/>
    <mergeCell ref="A1:I1"/>
    <mergeCell ref="A5:E5"/>
    <mergeCell ref="F6:F7"/>
    <mergeCell ref="A7:E7"/>
    <mergeCell ref="A4:F4"/>
    <mergeCell ref="F5:I5"/>
    <mergeCell ref="A6:E6"/>
    <mergeCell ref="G6:G7"/>
    <mergeCell ref="A2:I2"/>
    <mergeCell ref="H4:I4"/>
    <mergeCell ref="A3:I3"/>
    <mergeCell ref="C32:D32"/>
    <mergeCell ref="F32:G32"/>
    <mergeCell ref="A24:I24"/>
    <mergeCell ref="A25:I25"/>
    <mergeCell ref="A26:I26"/>
    <mergeCell ref="A29:I29"/>
    <mergeCell ref="A30:I30"/>
    <mergeCell ref="A31:I31"/>
  </mergeCells>
  <phoneticPr fontId="3" type="noConversion"/>
  <pageMargins left="0.7" right="0.7" top="0.75" bottom="0.75" header="0.3" footer="0.3"/>
  <pageSetup paperSize="9" scale="71" fitToHeight="0" orientation="landscape" horizont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3"/>
  <sheetViews>
    <sheetView view="pageBreakPreview" topLeftCell="A22" zoomScale="115" zoomScaleNormal="100" zoomScaleSheetLayoutView="115" workbookViewId="0">
      <selection activeCell="A25" sqref="A25:D31"/>
    </sheetView>
  </sheetViews>
  <sheetFormatPr defaultRowHeight="12.75"/>
  <cols>
    <col min="1" max="1" width="16.7109375" bestFit="1" customWidth="1"/>
    <col min="2" max="2" width="56.42578125" bestFit="1" customWidth="1"/>
    <col min="3" max="3" width="7.7109375" customWidth="1"/>
    <col min="4" max="4" width="12.28515625" customWidth="1"/>
  </cols>
  <sheetData>
    <row r="1" spans="1:8" ht="16.149999999999999" customHeight="1" thickBot="1">
      <c r="A1" s="241" t="s">
        <v>84</v>
      </c>
      <c r="B1" s="242"/>
      <c r="C1" s="242"/>
      <c r="D1" s="243"/>
      <c r="E1" s="58"/>
      <c r="F1" s="58"/>
      <c r="G1" s="58"/>
      <c r="H1" s="59"/>
    </row>
    <row r="2" spans="1:8" ht="51.6" customHeight="1" thickBot="1">
      <c r="A2" s="244"/>
      <c r="B2" s="245"/>
      <c r="C2" s="245"/>
      <c r="D2" s="246"/>
    </row>
    <row r="3" spans="1:8" s="30" customFormat="1" ht="13.5" thickBot="1">
      <c r="A3" s="250" t="s">
        <v>60</v>
      </c>
      <c r="B3" s="251"/>
      <c r="C3" s="251"/>
      <c r="D3" s="252"/>
    </row>
    <row r="4" spans="1:8" s="31" customFormat="1" ht="29.45" customHeight="1">
      <c r="A4" s="253" t="s">
        <v>21</v>
      </c>
      <c r="B4" s="254"/>
      <c r="C4" s="254"/>
      <c r="D4" s="255"/>
    </row>
    <row r="5" spans="1:8" ht="21" customHeight="1">
      <c r="A5" s="247" t="str">
        <f>'PLANILHA ORÇAMENTÁRIA'!A3:F3</f>
        <v>PREFEITURA: PREFEITURA MUNICIPAL DE FELISBURGO-MG</v>
      </c>
      <c r="B5" s="248"/>
      <c r="C5" s="248"/>
      <c r="D5" s="249"/>
    </row>
    <row r="6" spans="1:8" ht="36.6" customHeight="1">
      <c r="A6" s="247" t="str">
        <f>'PLANILHA ORÇAMENTÁRIA'!A4:F4</f>
        <v>OBJETO: PAVIMENTAÇÃO EM BLOCO SEXTAVADO EM VIAS DO PERÍMETRO URBANO NO MUNICÍPIO DE FELISBURGO-MG</v>
      </c>
      <c r="B6" s="248"/>
      <c r="C6" s="248"/>
      <c r="D6" s="249"/>
    </row>
    <row r="7" spans="1:8" ht="42" customHeight="1">
      <c r="A7" s="247" t="str">
        <f>'PLANILHA ORÇAMENTÁRIA'!A5:E5</f>
        <v>LOCAL: RUA RIO BRANCO, RUA JOSÉ CAMPOS, RUA MANAUS, RUA BELÉM E RUA ISNALDO ALVES FERREIRA, BAIRRO CIDADE NOVA; RUA TEREZINA, BAIRRO BELA VISTA, FELISBURGO-MG</v>
      </c>
      <c r="B7" s="248"/>
      <c r="C7" s="248"/>
      <c r="D7" s="249"/>
    </row>
    <row r="8" spans="1:8" ht="30.6" customHeight="1">
      <c r="A8" s="247" t="str">
        <f>'PLANILHA ORÇAMENTÁRIA'!A6:E6</f>
        <v>(REGIÃO/MÊS DE REFERÊNCIA):  SINAPI-MG 04/2026 NÃO DESONERADO  // SICOR-MG JEQUITINHONHA E MUCURI 01/2026 NÃO DESONERADO</v>
      </c>
      <c r="B8" s="248"/>
      <c r="C8" s="248"/>
      <c r="D8" s="249"/>
    </row>
    <row r="9" spans="1:8" s="31" customFormat="1">
      <c r="A9" s="262" t="s">
        <v>22</v>
      </c>
      <c r="B9" s="263"/>
      <c r="C9" s="263"/>
      <c r="D9" s="264"/>
    </row>
    <row r="10" spans="1:8" s="34" customFormat="1">
      <c r="A10" s="32" t="s">
        <v>0</v>
      </c>
      <c r="B10" s="265" t="s">
        <v>23</v>
      </c>
      <c r="C10" s="265"/>
      <c r="D10" s="266"/>
    </row>
    <row r="11" spans="1:8" s="34" customFormat="1">
      <c r="A11" s="32">
        <v>1</v>
      </c>
      <c r="B11" s="35" t="s">
        <v>24</v>
      </c>
      <c r="C11" s="33" t="s">
        <v>25</v>
      </c>
      <c r="D11" s="36"/>
    </row>
    <row r="12" spans="1:8">
      <c r="A12" s="60" t="s">
        <v>12</v>
      </c>
      <c r="B12" s="61" t="s">
        <v>26</v>
      </c>
      <c r="C12" s="62" t="s">
        <v>27</v>
      </c>
      <c r="D12" s="63">
        <v>4.6699999999999998E-2</v>
      </c>
    </row>
    <row r="13" spans="1:8">
      <c r="A13" s="60" t="s">
        <v>28</v>
      </c>
      <c r="B13" s="61" t="s">
        <v>29</v>
      </c>
      <c r="C13" s="62" t="s">
        <v>30</v>
      </c>
      <c r="D13" s="64">
        <v>9.7000000000000003E-3</v>
      </c>
    </row>
    <row r="14" spans="1:8">
      <c r="A14" s="60" t="s">
        <v>31</v>
      </c>
      <c r="B14" s="61" t="s">
        <v>32</v>
      </c>
      <c r="C14" s="62" t="s">
        <v>33</v>
      </c>
      <c r="D14" s="64">
        <v>7.4000000000000003E-3</v>
      </c>
    </row>
    <row r="15" spans="1:8">
      <c r="A15" s="60" t="s">
        <v>34</v>
      </c>
      <c r="B15" s="61" t="s">
        <v>61</v>
      </c>
      <c r="C15" s="62" t="s">
        <v>35</v>
      </c>
      <c r="D15" s="65">
        <v>1.0500000000000001E-2</v>
      </c>
    </row>
    <row r="16" spans="1:8">
      <c r="A16" s="60" t="s">
        <v>36</v>
      </c>
      <c r="B16" s="61" t="s">
        <v>37</v>
      </c>
      <c r="C16" s="62" t="s">
        <v>38</v>
      </c>
      <c r="D16" s="64">
        <v>7.4499999999999997E-2</v>
      </c>
    </row>
    <row r="17" spans="1:4" s="34" customFormat="1">
      <c r="A17" s="32">
        <v>2</v>
      </c>
      <c r="B17" s="35" t="s">
        <v>39</v>
      </c>
      <c r="C17" s="33" t="s">
        <v>40</v>
      </c>
      <c r="D17" s="37"/>
    </row>
    <row r="18" spans="1:4">
      <c r="A18" s="60" t="s">
        <v>13</v>
      </c>
      <c r="B18" s="25" t="s">
        <v>41</v>
      </c>
      <c r="C18" s="26" t="s">
        <v>42</v>
      </c>
      <c r="D18" s="63">
        <v>0.03</v>
      </c>
    </row>
    <row r="19" spans="1:4">
      <c r="A19" s="60" t="s">
        <v>43</v>
      </c>
      <c r="B19" s="25" t="s">
        <v>44</v>
      </c>
      <c r="C19" s="26" t="s">
        <v>45</v>
      </c>
      <c r="D19" s="66">
        <v>3.5000000000000003E-2</v>
      </c>
    </row>
    <row r="20" spans="1:4">
      <c r="A20" s="60" t="s">
        <v>46</v>
      </c>
      <c r="B20" s="25" t="s">
        <v>47</v>
      </c>
      <c r="C20" s="26" t="s">
        <v>48</v>
      </c>
      <c r="D20" s="63">
        <v>6.4999999999999997E-3</v>
      </c>
    </row>
    <row r="21" spans="1:4">
      <c r="A21" s="60" t="s">
        <v>49</v>
      </c>
      <c r="B21" s="25" t="s">
        <v>50</v>
      </c>
      <c r="C21" s="26" t="s">
        <v>51</v>
      </c>
      <c r="D21" s="64">
        <v>0</v>
      </c>
    </row>
    <row r="22" spans="1:4">
      <c r="A22" s="267" t="s">
        <v>52</v>
      </c>
      <c r="B22" s="268"/>
      <c r="C22" s="268"/>
      <c r="D22" s="27">
        <f>ROUND((((1+(D12+D13+D14))*(1+D15)*(1+D16)/(1-(D18+D19+D20+D21)))-1),4)</f>
        <v>0.24399999999999999</v>
      </c>
    </row>
    <row r="23" spans="1:4">
      <c r="A23" s="67"/>
      <c r="B23" s="269"/>
      <c r="C23" s="269"/>
      <c r="D23" s="68"/>
    </row>
    <row r="24" spans="1:4">
      <c r="A24" s="69"/>
      <c r="B24" s="169"/>
      <c r="C24" s="169"/>
      <c r="D24" s="70"/>
    </row>
    <row r="25" spans="1:4">
      <c r="A25" s="111"/>
      <c r="B25" s="170"/>
      <c r="C25" s="169"/>
      <c r="D25" s="70"/>
    </row>
    <row r="26" spans="1:4">
      <c r="A26" s="69"/>
      <c r="B26" s="169"/>
      <c r="C26" s="169"/>
      <c r="D26" s="70"/>
    </row>
    <row r="27" spans="1:4">
      <c r="A27" s="69"/>
      <c r="B27" s="169"/>
      <c r="C27" s="169"/>
      <c r="D27" s="70"/>
    </row>
    <row r="28" spans="1:4">
      <c r="A28" s="270"/>
      <c r="B28" s="271"/>
      <c r="C28" s="271"/>
      <c r="D28" s="272"/>
    </row>
    <row r="29" spans="1:4">
      <c r="A29" s="273"/>
      <c r="B29" s="274"/>
      <c r="C29" s="274"/>
      <c r="D29" s="275"/>
    </row>
    <row r="30" spans="1:4" s="89" customFormat="1">
      <c r="A30" s="256"/>
      <c r="B30" s="257"/>
      <c r="C30" s="257"/>
      <c r="D30" s="258"/>
    </row>
    <row r="31" spans="1:4">
      <c r="A31" s="28"/>
      <c r="B31" s="171"/>
      <c r="C31" s="171"/>
      <c r="D31" s="29"/>
    </row>
    <row r="32" spans="1:4">
      <c r="A32" s="259"/>
      <c r="B32" s="260"/>
      <c r="C32" s="260"/>
      <c r="D32" s="261"/>
    </row>
    <row r="33" spans="1:4" ht="13.5" thickBot="1">
      <c r="A33" s="71"/>
      <c r="B33" s="72"/>
      <c r="C33" s="72"/>
      <c r="D33" s="73"/>
    </row>
  </sheetData>
  <mergeCells count="15">
    <mergeCell ref="A30:D30"/>
    <mergeCell ref="A32:D32"/>
    <mergeCell ref="A9:D9"/>
    <mergeCell ref="B10:D10"/>
    <mergeCell ref="A22:C22"/>
    <mergeCell ref="B23:C23"/>
    <mergeCell ref="A28:D28"/>
    <mergeCell ref="A29:D29"/>
    <mergeCell ref="A1:D2"/>
    <mergeCell ref="A8:D8"/>
    <mergeCell ref="A3:D3"/>
    <mergeCell ref="A4:D4"/>
    <mergeCell ref="A5:D5"/>
    <mergeCell ref="A6:D6"/>
    <mergeCell ref="A7:D7"/>
  </mergeCells>
  <pageMargins left="0.511811024" right="0.511811024" top="0.78740157499999996" bottom="0.78740157499999996" header="0.31496062000000002" footer="0.31496062000000002"/>
  <pageSetup paperSize="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27"/>
  <sheetViews>
    <sheetView tabSelected="1" view="pageBreakPreview" zoomScale="85" zoomScaleNormal="100" zoomScaleSheetLayoutView="85" workbookViewId="0">
      <selection activeCell="F8" sqref="F8:G8"/>
    </sheetView>
  </sheetViews>
  <sheetFormatPr defaultRowHeight="12.75"/>
  <cols>
    <col min="1" max="1" width="8.140625" customWidth="1"/>
    <col min="3" max="3" width="24.140625" customWidth="1"/>
    <col min="4" max="4" width="22" customWidth="1"/>
    <col min="5" max="5" width="10.140625" bestFit="1" customWidth="1"/>
    <col min="6" max="6" width="17.5703125" bestFit="1" customWidth="1"/>
    <col min="7" max="7" width="15.140625" customWidth="1"/>
    <col min="8" max="8" width="20.5703125" customWidth="1"/>
    <col min="9" max="9" width="8.85546875" bestFit="1" customWidth="1"/>
    <col min="10" max="10" width="20.7109375" customWidth="1"/>
    <col min="11" max="11" width="8.85546875" bestFit="1" customWidth="1"/>
    <col min="12" max="12" width="20.7109375" customWidth="1"/>
    <col min="13" max="13" width="10.140625" bestFit="1" customWidth="1"/>
    <col min="14" max="14" width="20.42578125" customWidth="1"/>
    <col min="15" max="15" width="12.28515625" bestFit="1" customWidth="1"/>
  </cols>
  <sheetData>
    <row r="1" spans="1:15" s="1" customFormat="1" ht="93" customHeight="1">
      <c r="A1" s="294" t="s">
        <v>84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6"/>
    </row>
    <row r="2" spans="1:15" ht="21" customHeight="1">
      <c r="A2" s="288" t="str">
        <f>'PLANILHA ORÇAMENTÁRIA'!A3:F3</f>
        <v>PREFEITURA: PREFEITURA MUNICIPAL DE FELISBURGO-MG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90"/>
    </row>
    <row r="3" spans="1:15" ht="21" customHeight="1">
      <c r="A3" s="291" t="str">
        <f>'PLANILHA ORÇAMENTÁRIA'!A4:F4</f>
        <v>OBJETO: PAVIMENTAÇÃO EM BLOCO SEXTAVADO EM VIAS DO PERÍMETRO URBANO NO MUNICÍPIO DE FELISBURGO-MG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3"/>
      <c r="N3" s="109" t="str">
        <f>'PLANILHA ORÇAMENTÁRIA'!G4</f>
        <v>DATA:</v>
      </c>
      <c r="O3" s="114">
        <f ca="1">TODAY()</f>
        <v>46225</v>
      </c>
    </row>
    <row r="4" spans="1:15" ht="40.9" customHeight="1">
      <c r="A4" s="303" t="str">
        <f>'PLANILHA ORÇAMENTÁRIA'!A5:E5</f>
        <v>LOCAL: RUA RIO BRANCO, RUA JOSÉ CAMPOS, RUA MANAUS, RUA BELÉM E RUA ISNALDO ALVES FERREIRA, BAIRRO CIDADE NOVA; RUA TEREZINA, BAIRRO BELA VISTA, FELISBURGO-MG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5"/>
    </row>
    <row r="5" spans="1:15" ht="21" customHeight="1">
      <c r="A5" s="291" t="str">
        <f>'PLANILHA ORÇAMENTÁRIA'!A6:E6</f>
        <v>(REGIÃO/MÊS DE REFERÊNCIA):  SINAPI-MG 04/2026 NÃO DESONERADO  // SICOR-MG JEQUITINHONHA E MUCURI 01/2026 NÃO DESONERADO</v>
      </c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306"/>
    </row>
    <row r="6" spans="1:15" ht="20.45" customHeight="1" thickBot="1">
      <c r="A6" s="300" t="str">
        <f>'PLANILHA ORÇAMENTÁRIA'!A7:E7</f>
        <v>PRAZO DE EXECUÇÃO: 04 MESES</v>
      </c>
      <c r="B6" s="301"/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2"/>
    </row>
    <row r="7" spans="1:15" ht="16.5" thickBot="1">
      <c r="A7" s="297" t="s">
        <v>53</v>
      </c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9"/>
    </row>
    <row r="8" spans="1:15" s="31" customFormat="1" ht="15.75">
      <c r="A8" s="118" t="s">
        <v>0</v>
      </c>
      <c r="B8" s="281" t="s">
        <v>1</v>
      </c>
      <c r="C8" s="281"/>
      <c r="D8" s="281" t="s">
        <v>54</v>
      </c>
      <c r="E8" s="281"/>
      <c r="F8" s="281" t="s">
        <v>55</v>
      </c>
      <c r="G8" s="281"/>
      <c r="H8" s="281" t="s">
        <v>67</v>
      </c>
      <c r="I8" s="281"/>
      <c r="J8" s="281" t="s">
        <v>68</v>
      </c>
      <c r="K8" s="281"/>
      <c r="L8" s="281" t="s">
        <v>88</v>
      </c>
      <c r="M8" s="281"/>
      <c r="N8" s="281" t="s">
        <v>56</v>
      </c>
      <c r="O8" s="307"/>
    </row>
    <row r="9" spans="1:15" ht="15.75">
      <c r="A9" s="119"/>
      <c r="B9" s="308"/>
      <c r="C9" s="308"/>
      <c r="D9" s="74" t="s">
        <v>57</v>
      </c>
      <c r="E9" s="74" t="s">
        <v>58</v>
      </c>
      <c r="F9" s="74" t="s">
        <v>57</v>
      </c>
      <c r="G9" s="74" t="s">
        <v>58</v>
      </c>
      <c r="H9" s="74" t="s">
        <v>57</v>
      </c>
      <c r="I9" s="74" t="s">
        <v>58</v>
      </c>
      <c r="J9" s="74" t="s">
        <v>57</v>
      </c>
      <c r="K9" s="74" t="s">
        <v>58</v>
      </c>
      <c r="L9" s="74" t="s">
        <v>57</v>
      </c>
      <c r="M9" s="74" t="s">
        <v>58</v>
      </c>
      <c r="N9" s="75" t="s">
        <v>57</v>
      </c>
      <c r="O9" s="120" t="s">
        <v>58</v>
      </c>
    </row>
    <row r="10" spans="1:15" ht="31.9" customHeight="1">
      <c r="A10" s="121">
        <f>'PLANILHA ORÇAMENTÁRIA'!A9</f>
        <v>1</v>
      </c>
      <c r="B10" s="277" t="str">
        <f>'PLANILHA ORÇAMENTÁRIA'!D9</f>
        <v>SERVIÇOS PRELIMINARES</v>
      </c>
      <c r="C10" s="277"/>
      <c r="D10" s="76">
        <f>'PLANILHA ORÇAMENTÁRIA'!$I$9</f>
        <v>4199.91</v>
      </c>
      <c r="E10" s="77">
        <f>D10/$D$15</f>
        <v>1.0238393922359132E-2</v>
      </c>
      <c r="F10" s="78">
        <f>$D$10*G10</f>
        <v>4199.91</v>
      </c>
      <c r="G10" s="77">
        <v>1</v>
      </c>
      <c r="H10" s="78"/>
      <c r="I10" s="77"/>
      <c r="J10" s="78"/>
      <c r="K10" s="77"/>
      <c r="L10" s="78"/>
      <c r="M10" s="77"/>
      <c r="N10" s="79">
        <f>F10+H10+J10+L10</f>
        <v>4199.91</v>
      </c>
      <c r="O10" s="122">
        <f>G10+I10+K10+M10</f>
        <v>1</v>
      </c>
    </row>
    <row r="11" spans="1:15" ht="35.25" customHeight="1">
      <c r="A11" s="121">
        <f>'PLANILHA ORÇAMENTÁRIA'!A12</f>
        <v>2</v>
      </c>
      <c r="B11" s="277" t="str">
        <f>'PLANILHA ORÇAMENTÁRIA'!D12</f>
        <v>TERRAPLANAGEM</v>
      </c>
      <c r="C11" s="277"/>
      <c r="D11" s="76">
        <f>'PLANILHA ORÇAMENTÁRIA'!$I$12</f>
        <v>27505.29</v>
      </c>
      <c r="E11" s="77">
        <f>D11/$D$15</f>
        <v>6.7051435380454688E-2</v>
      </c>
      <c r="F11" s="78">
        <f>$D$11*G11</f>
        <v>27505.29</v>
      </c>
      <c r="G11" s="77">
        <v>1</v>
      </c>
      <c r="H11" s="78"/>
      <c r="I11" s="77"/>
      <c r="J11" s="78"/>
      <c r="K11" s="77"/>
      <c r="L11" s="78"/>
      <c r="M11" s="77"/>
      <c r="N11" s="79">
        <f t="shared" ref="N11:N13" si="0">F11+H11+J11+L11</f>
        <v>27505.29</v>
      </c>
      <c r="O11" s="122">
        <f t="shared" ref="O11:O13" si="1">G11+I11+K11+M11</f>
        <v>1</v>
      </c>
    </row>
    <row r="12" spans="1:15" ht="35.25" customHeight="1">
      <c r="A12" s="123">
        <f>'PLANILHA ORÇAMENTÁRIA'!$A$17</f>
        <v>3</v>
      </c>
      <c r="B12" s="277" t="str">
        <f>'PLANILHA ORÇAMENTÁRIA'!$D$17</f>
        <v>PAVIMENTAÇÃO</v>
      </c>
      <c r="C12" s="277"/>
      <c r="D12" s="76">
        <f>'PLANILHA ORÇAMENTÁRIA'!$I$17</f>
        <v>261870.96</v>
      </c>
      <c r="E12" s="77">
        <f>D12/$D$15</f>
        <v>0.63837988083229202</v>
      </c>
      <c r="F12" s="78">
        <f>$D$12*G12</f>
        <v>65467.74</v>
      </c>
      <c r="G12" s="77">
        <v>0.25</v>
      </c>
      <c r="H12" s="78">
        <f>$D$12*I12</f>
        <v>91654.835999999996</v>
      </c>
      <c r="I12" s="77">
        <v>0.35</v>
      </c>
      <c r="J12" s="78">
        <f>$D$12*K12</f>
        <v>52374.192000000003</v>
      </c>
      <c r="K12" s="77">
        <v>0.2</v>
      </c>
      <c r="L12" s="78">
        <f>$D$12*M12</f>
        <v>52374.192000000003</v>
      </c>
      <c r="M12" s="77">
        <v>0.2</v>
      </c>
      <c r="N12" s="79">
        <f t="shared" si="0"/>
        <v>261870.96000000002</v>
      </c>
      <c r="O12" s="122">
        <f t="shared" si="1"/>
        <v>1</v>
      </c>
    </row>
    <row r="13" spans="1:15" ht="35.25" customHeight="1">
      <c r="A13" s="123">
        <f>'PLANILHA ORÇAMENTÁRIA'!$A$19</f>
        <v>4</v>
      </c>
      <c r="B13" s="277" t="str">
        <f>'PLANILHA ORÇAMENTÁRIA'!$D$19</f>
        <v>OBRAS COMPLEMENTARES DE PAVIMENTAÇÃO</v>
      </c>
      <c r="C13" s="277"/>
      <c r="D13" s="76">
        <f>'PLANILHA ORÇAMENTÁRIA'!$I$19</f>
        <v>116635.64</v>
      </c>
      <c r="E13" s="77">
        <f>D13/$D$15</f>
        <v>0.28433028986489417</v>
      </c>
      <c r="F13" s="78"/>
      <c r="G13" s="77"/>
      <c r="H13" s="78"/>
      <c r="I13" s="77"/>
      <c r="J13" s="78">
        <f>$D$13*K13</f>
        <v>58317.82</v>
      </c>
      <c r="K13" s="77">
        <v>0.5</v>
      </c>
      <c r="L13" s="78">
        <f>$D$13*M13</f>
        <v>58317.82</v>
      </c>
      <c r="M13" s="77">
        <v>0.5</v>
      </c>
      <c r="N13" s="79">
        <f t="shared" si="0"/>
        <v>116635.64</v>
      </c>
      <c r="O13" s="122">
        <f t="shared" si="1"/>
        <v>1</v>
      </c>
    </row>
    <row r="14" spans="1:15" ht="15.75">
      <c r="A14" s="124"/>
      <c r="B14" s="80"/>
      <c r="C14" s="81"/>
      <c r="D14" s="172"/>
      <c r="E14" s="173"/>
      <c r="F14" s="82"/>
      <c r="G14" s="174"/>
      <c r="H14" s="174"/>
      <c r="I14" s="174"/>
      <c r="J14" s="174"/>
      <c r="K14" s="174"/>
      <c r="L14" s="174"/>
      <c r="M14" s="174"/>
      <c r="N14" s="82"/>
      <c r="O14" s="125"/>
    </row>
    <row r="15" spans="1:15" ht="15.75">
      <c r="A15" s="126"/>
      <c r="B15" s="285" t="s">
        <v>56</v>
      </c>
      <c r="C15" s="285"/>
      <c r="D15" s="83">
        <f>SUM(D10:D13)</f>
        <v>410211.8</v>
      </c>
      <c r="E15" s="84">
        <f>SUM(E10:E13)</f>
        <v>1</v>
      </c>
      <c r="F15" s="85">
        <f>SUM(F10:F13)</f>
        <v>97172.94</v>
      </c>
      <c r="G15" s="86">
        <f>F15/$D$15</f>
        <v>0.23688479951088684</v>
      </c>
      <c r="H15" s="85">
        <f>SUM(H10:H13)</f>
        <v>91654.835999999996</v>
      </c>
      <c r="I15" s="86">
        <f>H15/$D$15</f>
        <v>0.22343295829130219</v>
      </c>
      <c r="J15" s="85">
        <f>SUM(J10:J13)</f>
        <v>110692.012</v>
      </c>
      <c r="K15" s="86">
        <f>J15/$D$15</f>
        <v>0.26984112109890551</v>
      </c>
      <c r="L15" s="85">
        <f>SUM(L10:L13)</f>
        <v>110692.012</v>
      </c>
      <c r="M15" s="86">
        <f>L15/$D$15</f>
        <v>0.26984112109890551</v>
      </c>
      <c r="N15" s="85">
        <f>SUM(N10:N13)</f>
        <v>410211.80000000005</v>
      </c>
      <c r="O15" s="127">
        <f>N15/$D$15</f>
        <v>1.0000000000000002</v>
      </c>
    </row>
    <row r="16" spans="1:15" ht="15.75">
      <c r="A16" s="126"/>
      <c r="B16" s="285" t="s">
        <v>59</v>
      </c>
      <c r="C16" s="285"/>
      <c r="D16" s="83">
        <f>SUM(D10:D13)</f>
        <v>410211.8</v>
      </c>
      <c r="E16" s="84">
        <v>1</v>
      </c>
      <c r="F16" s="85">
        <f>F15</f>
        <v>97172.94</v>
      </c>
      <c r="G16" s="86">
        <f>G15</f>
        <v>0.23688479951088684</v>
      </c>
      <c r="H16" s="85">
        <f t="shared" ref="H16:M16" si="2">H15+F16</f>
        <v>188827.77600000001</v>
      </c>
      <c r="I16" s="86">
        <f t="shared" si="2"/>
        <v>0.46031775780218903</v>
      </c>
      <c r="J16" s="85">
        <f t="shared" si="2"/>
        <v>299519.788</v>
      </c>
      <c r="K16" s="86">
        <f t="shared" si="2"/>
        <v>0.73015887890109454</v>
      </c>
      <c r="L16" s="85">
        <f t="shared" si="2"/>
        <v>410211.8</v>
      </c>
      <c r="M16" s="86">
        <f t="shared" si="2"/>
        <v>1</v>
      </c>
      <c r="N16" s="85"/>
      <c r="O16" s="128"/>
    </row>
    <row r="17" spans="1:15" ht="15.75">
      <c r="A17" s="129"/>
      <c r="B17" s="175"/>
      <c r="C17" s="175"/>
      <c r="D17" s="175"/>
      <c r="E17" s="175"/>
      <c r="F17" s="87"/>
      <c r="G17" s="176"/>
      <c r="H17" s="176"/>
      <c r="I17" s="176"/>
      <c r="J17" s="176"/>
      <c r="K17" s="176"/>
      <c r="L17" s="176"/>
      <c r="M17" s="176"/>
      <c r="N17" s="88"/>
      <c r="O17" s="130"/>
    </row>
    <row r="18" spans="1:15" ht="15.75">
      <c r="A18" s="129"/>
      <c r="B18" s="282"/>
      <c r="C18" s="283"/>
      <c r="D18" s="110"/>
      <c r="E18" s="175"/>
      <c r="F18" s="88"/>
      <c r="G18" s="176"/>
      <c r="H18" s="176"/>
      <c r="I18" s="176"/>
      <c r="J18" s="176"/>
      <c r="K18" s="176"/>
      <c r="L18" s="176"/>
      <c r="M18" s="176"/>
      <c r="N18" s="88"/>
      <c r="O18" s="130"/>
    </row>
    <row r="19" spans="1:15" ht="15">
      <c r="A19" s="286"/>
      <c r="B19" s="287"/>
      <c r="C19" s="28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32"/>
    </row>
    <row r="20" spans="1:15" ht="15.75">
      <c r="A20" s="131"/>
      <c r="B20" s="280"/>
      <c r="C20" s="280"/>
      <c r="D20" s="280"/>
      <c r="E20" s="280"/>
      <c r="F20" s="177"/>
      <c r="G20" s="179"/>
      <c r="H20" s="179"/>
      <c r="I20" s="179"/>
      <c r="J20" s="179"/>
      <c r="K20" s="179"/>
      <c r="L20" s="179"/>
      <c r="M20" s="179"/>
      <c r="N20" s="179"/>
      <c r="O20" s="133"/>
    </row>
    <row r="21" spans="1:15" ht="15.75">
      <c r="A21" s="131"/>
      <c r="B21" s="279"/>
      <c r="C21" s="279"/>
      <c r="D21" s="279"/>
      <c r="E21" s="279"/>
      <c r="F21" s="177"/>
      <c r="G21" s="178"/>
      <c r="H21" s="178"/>
      <c r="I21" s="178"/>
      <c r="J21" s="178"/>
      <c r="K21" s="178"/>
      <c r="L21" s="178"/>
      <c r="M21" s="178"/>
      <c r="N21" s="178"/>
      <c r="O21" s="134"/>
    </row>
    <row r="22" spans="1:15" ht="15">
      <c r="A22" s="135"/>
      <c r="B22" s="278" t="s">
        <v>20</v>
      </c>
      <c r="C22" s="278"/>
      <c r="D22" s="278"/>
      <c r="E22" s="278"/>
      <c r="F22" s="278"/>
      <c r="G22" s="278"/>
      <c r="H22" s="278" t="s">
        <v>20</v>
      </c>
      <c r="I22" s="278"/>
      <c r="J22" s="278"/>
      <c r="K22" s="278"/>
      <c r="L22" s="278"/>
      <c r="M22" s="278"/>
      <c r="N22" s="278"/>
      <c r="O22" s="284"/>
    </row>
    <row r="23" spans="1:15" ht="15.75">
      <c r="A23" s="135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8"/>
    </row>
    <row r="24" spans="1:15" s="89" customFormat="1" ht="15.75">
      <c r="A24" s="13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8"/>
    </row>
    <row r="25" spans="1:15" ht="15.75" thickBot="1">
      <c r="A25" s="137"/>
      <c r="B25" s="276"/>
      <c r="C25" s="276"/>
      <c r="D25" s="276"/>
      <c r="E25" s="276"/>
      <c r="F25" s="276"/>
      <c r="G25" s="276"/>
      <c r="H25" s="138"/>
      <c r="I25" s="138"/>
      <c r="J25" s="138"/>
      <c r="K25" s="138"/>
      <c r="L25" s="138"/>
      <c r="M25" s="138"/>
      <c r="N25" s="139"/>
      <c r="O25" s="140"/>
    </row>
    <row r="26" spans="1:1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5">
      <c r="B27" s="2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</sheetData>
  <mergeCells count="32">
    <mergeCell ref="A2:O2"/>
    <mergeCell ref="L8:M8"/>
    <mergeCell ref="A3:M3"/>
    <mergeCell ref="A1:O1"/>
    <mergeCell ref="B15:C15"/>
    <mergeCell ref="A7:O7"/>
    <mergeCell ref="A6:O6"/>
    <mergeCell ref="A4:O4"/>
    <mergeCell ref="A5:O5"/>
    <mergeCell ref="B12:C12"/>
    <mergeCell ref="H8:I8"/>
    <mergeCell ref="J8:K8"/>
    <mergeCell ref="N8:O8"/>
    <mergeCell ref="B9:C9"/>
    <mergeCell ref="B10:C10"/>
    <mergeCell ref="B8:C8"/>
    <mergeCell ref="D8:E8"/>
    <mergeCell ref="F8:G8"/>
    <mergeCell ref="H24:O24"/>
    <mergeCell ref="B18:C18"/>
    <mergeCell ref="B13:C13"/>
    <mergeCell ref="H22:O22"/>
    <mergeCell ref="H23:O23"/>
    <mergeCell ref="B16:C16"/>
    <mergeCell ref="A19:C19"/>
    <mergeCell ref="B25:G25"/>
    <mergeCell ref="B11:C11"/>
    <mergeCell ref="B22:G22"/>
    <mergeCell ref="B21:E21"/>
    <mergeCell ref="B20:E20"/>
    <mergeCell ref="B23:G23"/>
    <mergeCell ref="B24:G24"/>
  </mergeCells>
  <pageMargins left="0.511811024" right="0.511811024" top="0.78740157499999996" bottom="0.78740157499999996" header="0.31496062000000002" footer="0.31496062000000002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MEMÓRIAL DE CÁLCULO</vt:lpstr>
      <vt:lpstr>PLANILHA ORÇAMENTÁRIA</vt:lpstr>
      <vt:lpstr>BDI</vt:lpstr>
      <vt:lpstr>CRONOGRAMA FÍSICO-FINANCEIRO</vt:lpstr>
      <vt:lpstr>BDI!Area_de_impressao</vt:lpstr>
      <vt:lpstr>'CRONOGRAMA FÍSICO-FINANCEIRO'!Area_de_impressao</vt:lpstr>
      <vt:lpstr>'MEMÓRIAL DE CÁLCULO'!Area_de_impressao</vt:lpstr>
      <vt:lpstr>'PLANILHA ORÇAMENTÁRIA'!Area_de_impressao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Fróis</dc:creator>
  <cp:lastModifiedBy>JP Licitação</cp:lastModifiedBy>
  <cp:lastPrinted>2026-05-28T13:10:10Z</cp:lastPrinted>
  <dcterms:created xsi:type="dcterms:W3CDTF">2006-09-22T13:55:22Z</dcterms:created>
  <dcterms:modified xsi:type="dcterms:W3CDTF">2026-07-22T12:40:32Z</dcterms:modified>
</cp:coreProperties>
</file>