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0.10.12.200\planejamento\1-CONVÊNIOS\1-CONVÊNIOS ATIVOS\02-P+B - 021743-2024 - 657032024 - Operação 1096827-57 -PONTE CÔRREGO DA JOANA-RODRIGO PACHECO\CLÁUSULA SUSPENSIVA\Projetos\"/>
    </mc:Choice>
  </mc:AlternateContent>
  <bookViews>
    <workbookView xWindow="0" yWindow="0" windowWidth="16815" windowHeight="7755"/>
  </bookViews>
  <sheets>
    <sheet name="PLAN. ORÇAMENTARIA" sheetId="2" r:id="rId1"/>
    <sheet name="COMPOSIÇÃO" sheetId="5" r:id="rId2"/>
    <sheet name="CRONOGRAMA FISICO FINANCEIRO" sheetId="3" r:id="rId3"/>
    <sheet name="COMPOSIÇÃO BDI" sheetId="4" r:id="rId4"/>
    <sheet name="MEMORIAL CÁLCULO" sheetId="1" r:id="rId5"/>
  </sheets>
  <definedNames>
    <definedName name="_xlnm.Print_Area" localSheetId="1">COMPOSIÇÃO!$B$67:$I$94</definedName>
    <definedName name="_xlnm.Print_Area" localSheetId="3">'COMPOSIÇÃO BDI'!$A$1:$C$25</definedName>
    <definedName name="_xlnm.Print_Area" localSheetId="2">'CRONOGRAMA FISICO FINANCEIRO'!$A$2:$H$39</definedName>
    <definedName name="_xlnm.Print_Area" localSheetId="4">'MEMORIAL CÁLCULO'!$A$1:$E$75</definedName>
    <definedName name="_xlnm.Print_Area" localSheetId="0">'PLAN. ORÇAMENTARIA'!$A$1:$J$55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2" i="2" l="1"/>
  <c r="I42" i="2"/>
  <c r="J24" i="2"/>
  <c r="B13" i="3" l="1"/>
  <c r="I76" i="5" l="1"/>
  <c r="I77" i="5"/>
  <c r="I78" i="5"/>
  <c r="I79" i="5"/>
  <c r="I80" i="5"/>
  <c r="I81" i="5"/>
  <c r="I82" i="5"/>
  <c r="I83" i="5"/>
  <c r="I84" i="5"/>
  <c r="I85" i="5"/>
  <c r="I75" i="5"/>
  <c r="I86" i="5" l="1"/>
  <c r="G48" i="2" s="1"/>
  <c r="J48" i="2" l="1"/>
  <c r="J47" i="2" s="1"/>
  <c r="D24" i="3" s="1"/>
  <c r="I48" i="2"/>
  <c r="I47" i="2" s="1"/>
  <c r="H12" i="2"/>
  <c r="I12" i="2"/>
  <c r="I11" i="2" s="1"/>
  <c r="J12" i="2"/>
  <c r="J11" i="2" s="1"/>
  <c r="D10" i="3" s="1"/>
  <c r="A7" i="3"/>
  <c r="G46" i="5"/>
  <c r="I46" i="5" s="1"/>
  <c r="G45" i="5"/>
  <c r="I45" i="5" s="1"/>
  <c r="G44" i="5"/>
  <c r="I47" i="5"/>
  <c r="I48" i="5"/>
  <c r="I49" i="5"/>
  <c r="I50" i="5"/>
  <c r="I44" i="5"/>
  <c r="K50" i="1"/>
  <c r="H47" i="1"/>
  <c r="H53" i="1"/>
  <c r="I37" i="5"/>
  <c r="I36" i="5"/>
  <c r="E10" i="3" l="1"/>
  <c r="G10" i="3"/>
  <c r="F10" i="3"/>
  <c r="H10" i="3"/>
  <c r="F24" i="3"/>
  <c r="E24" i="3"/>
  <c r="G24" i="3"/>
  <c r="H24" i="3"/>
  <c r="I39" i="5"/>
  <c r="G19" i="2" s="1"/>
  <c r="I51" i="5"/>
  <c r="G46" i="2" s="1"/>
  <c r="I46" i="2" s="1"/>
  <c r="J46" i="2" l="1"/>
  <c r="J34" i="2"/>
  <c r="H18" i="2"/>
  <c r="I34" i="2"/>
  <c r="I28" i="5"/>
  <c r="I30" i="5"/>
  <c r="I29" i="5"/>
  <c r="I27" i="5"/>
  <c r="I31" i="5" l="1"/>
  <c r="G26" i="2" s="1"/>
  <c r="J21" i="2" l="1"/>
  <c r="I20" i="5"/>
  <c r="I19" i="5"/>
  <c r="I18" i="5"/>
  <c r="I36" i="2"/>
  <c r="J36" i="2"/>
  <c r="D65" i="1"/>
  <c r="D64" i="1"/>
  <c r="D63" i="1"/>
  <c r="D57" i="1"/>
  <c r="D56" i="1"/>
  <c r="D55" i="1"/>
  <c r="D54" i="1"/>
  <c r="D53" i="1"/>
  <c r="D50" i="1"/>
  <c r="D49" i="1"/>
  <c r="D48" i="1"/>
  <c r="D47" i="1"/>
  <c r="D46" i="1"/>
  <c r="D45" i="1"/>
  <c r="D33" i="1"/>
  <c r="D20" i="1"/>
  <c r="D19" i="1"/>
  <c r="D18" i="1"/>
  <c r="D17" i="1"/>
  <c r="I45" i="2"/>
  <c r="J45" i="2"/>
  <c r="I44" i="2"/>
  <c r="I43" i="2" s="1"/>
  <c r="J44" i="2"/>
  <c r="I41" i="2"/>
  <c r="J41" i="2"/>
  <c r="I40" i="2"/>
  <c r="I38" i="2"/>
  <c r="J38" i="2"/>
  <c r="I37" i="2"/>
  <c r="I33" i="2"/>
  <c r="J33" i="2"/>
  <c r="I32" i="2"/>
  <c r="J32" i="2"/>
  <c r="I31" i="2"/>
  <c r="J31" i="2"/>
  <c r="I30" i="2"/>
  <c r="J30" i="2"/>
  <c r="I29" i="2"/>
  <c r="J29" i="2"/>
  <c r="I28" i="2"/>
  <c r="J28" i="2"/>
  <c r="I27" i="2"/>
  <c r="J27" i="2"/>
  <c r="I26" i="2"/>
  <c r="J26" i="2"/>
  <c r="I24" i="2"/>
  <c r="I23" i="2"/>
  <c r="J23" i="2"/>
  <c r="J22" i="2" s="1"/>
  <c r="I21" i="2"/>
  <c r="I20" i="2"/>
  <c r="J20" i="2"/>
  <c r="I19" i="2"/>
  <c r="J19" i="2"/>
  <c r="I18" i="2"/>
  <c r="J18" i="2"/>
  <c r="I17" i="2"/>
  <c r="J17" i="2"/>
  <c r="I16" i="2"/>
  <c r="J16" i="2"/>
  <c r="I13" i="5"/>
  <c r="I12" i="5"/>
  <c r="J43" i="2" l="1"/>
  <c r="D18" i="3"/>
  <c r="I22" i="2"/>
  <c r="I25" i="2"/>
  <c r="I21" i="5"/>
  <c r="G39" i="2" s="1"/>
  <c r="D16" i="3"/>
  <c r="G16" i="3" s="1"/>
  <c r="G18" i="1"/>
  <c r="I15" i="2"/>
  <c r="J37" i="2"/>
  <c r="J40" i="2"/>
  <c r="J15" i="2"/>
  <c r="D22" i="3"/>
  <c r="I14" i="5"/>
  <c r="G14" i="2" s="1"/>
  <c r="D14" i="3" l="1"/>
  <c r="E14" i="3" s="1"/>
  <c r="F14" i="3" s="1"/>
  <c r="G14" i="3" s="1"/>
  <c r="H14" i="3" s="1"/>
  <c r="H16" i="3"/>
  <c r="F16" i="3"/>
  <c r="E16" i="3"/>
  <c r="J39" i="2"/>
  <c r="I39" i="2"/>
  <c r="I35" i="2" s="1"/>
  <c r="F22" i="3"/>
  <c r="G22" i="3"/>
  <c r="H22" i="3"/>
  <c r="E22" i="3"/>
  <c r="E18" i="3"/>
  <c r="H18" i="3"/>
  <c r="F18" i="3"/>
  <c r="G18" i="3"/>
  <c r="D20" i="3" l="1"/>
  <c r="D27" i="3" s="1"/>
  <c r="J14" i="2"/>
  <c r="I14" i="2"/>
  <c r="I13" i="2" s="1"/>
  <c r="H8" i="2" s="1"/>
  <c r="G20" i="3" l="1"/>
  <c r="G27" i="3" s="1"/>
  <c r="G25" i="3" s="1"/>
  <c r="E20" i="3"/>
  <c r="E27" i="3" s="1"/>
  <c r="E25" i="3" s="1"/>
  <c r="H20" i="3"/>
  <c r="H27" i="3" s="1"/>
  <c r="H25" i="3" s="1"/>
  <c r="F20" i="3"/>
  <c r="F27" i="3" s="1"/>
  <c r="F25" i="3" s="1"/>
  <c r="H6" i="2"/>
  <c r="J13" i="2"/>
  <c r="D12" i="3" l="1"/>
  <c r="J8" i="2"/>
  <c r="H12" i="3"/>
  <c r="F12" i="3"/>
  <c r="E12" i="3"/>
  <c r="G12" i="3"/>
  <c r="J6" i="2" l="1"/>
  <c r="E31" i="3"/>
  <c r="F31" i="3" l="1"/>
  <c r="E29" i="3"/>
  <c r="G31" i="3" l="1"/>
  <c r="F29" i="3"/>
  <c r="G29" i="3" l="1"/>
  <c r="H31" i="3"/>
  <c r="H29" i="3" s="1"/>
</calcChain>
</file>

<file path=xl/sharedStrings.xml><?xml version="1.0" encoding="utf-8"?>
<sst xmlns="http://schemas.openxmlformats.org/spreadsheetml/2006/main" count="642" uniqueCount="316">
  <si>
    <t>IDENTIFICAÇÃO</t>
  </si>
  <si>
    <t>MATERIAL</t>
  </si>
  <si>
    <t>MEMORIA DE CALCULO</t>
  </si>
  <si>
    <t>TOTAL</t>
  </si>
  <si>
    <t>ENCABEÇAMENTO</t>
  </si>
  <si>
    <t>ENCABEÇAMENTO + ALA/ASA + BLOCO + BROCA</t>
  </si>
  <si>
    <t>N1</t>
  </si>
  <si>
    <t>N2</t>
  </si>
  <si>
    <t>N3</t>
  </si>
  <si>
    <t>N4</t>
  </si>
  <si>
    <t>N5</t>
  </si>
  <si>
    <t>E1</t>
  </si>
  <si>
    <t>E2</t>
  </si>
  <si>
    <t>E3</t>
  </si>
  <si>
    <t>E4</t>
  </si>
  <si>
    <t>E5</t>
  </si>
  <si>
    <t>STEEL DECK</t>
  </si>
  <si>
    <t>N6</t>
  </si>
  <si>
    <t>E6</t>
  </si>
  <si>
    <t>E6''</t>
  </si>
  <si>
    <t>TELA SOLDADA</t>
  </si>
  <si>
    <t>UND</t>
  </si>
  <si>
    <t>Kg</t>
  </si>
  <si>
    <t>m2</t>
  </si>
  <si>
    <t>ASA/ALA LATERAL</t>
  </si>
  <si>
    <t>BLOCO</t>
  </si>
  <si>
    <t>CONCRETO Fck = 30 Mpa</t>
  </si>
  <si>
    <t>m3</t>
  </si>
  <si>
    <t>18und/Pegão x 6,15m x 2 Pegões x 1,58kg/m*</t>
  </si>
  <si>
    <t>24und/Pegão x 6,85m x 2 Pegões x 1,58kg/m*</t>
  </si>
  <si>
    <t>16und/Pegão x 5,20m x 2 Pegões x 1,58kg/m*</t>
  </si>
  <si>
    <t>24und/Pegão x 3,20m x 2 Pegões x 1,58kg/m*</t>
  </si>
  <si>
    <t>32und/Pegão x 3,30m x 2 Pegões x 1,58kg/m*</t>
  </si>
  <si>
    <t>42und/Pegão x 3,50m x 2 Pegões x 1,58kg/m*</t>
  </si>
  <si>
    <t>42und/Pegão x 5,20m x 2 Pegões x 1,58kg/m*</t>
  </si>
  <si>
    <t>128und/Pegão x 0,90m x 2 Pegões x 0,25kg/m*</t>
  </si>
  <si>
    <t>102und/Pegão x 0,75m x 2 Pegões x 0,25kg/m*</t>
  </si>
  <si>
    <t>48und/Pegão x 4,60m x 2 Pegões x 1,58kg/m*</t>
  </si>
  <si>
    <t>1und/Pegão x 2 Pegões x [ 5,25m x 0,90m x 0,60m ]</t>
  </si>
  <si>
    <t>2und/Pegãox 2 Pegões x [ 3,00m x 2,00m x 0,30m ]</t>
  </si>
  <si>
    <t>1und/Pegão x 2 Pegões x [ 5,25m x 1,20m x 1,50m ]</t>
  </si>
  <si>
    <t>COMP. PLASTIFICADO 18mm</t>
  </si>
  <si>
    <t>1und/Pegão x 2 Pegões x [ 0,90m x 5,25m ] x 2 Lados</t>
  </si>
  <si>
    <t>2und/Pegão x 2 Pegões x [ 3,00m x 2,00m ] x 2 Lados</t>
  </si>
  <si>
    <t>1und/Pegão x 2 Pegões x [ 1,20m x 5,25m ] x 2 Lados</t>
  </si>
  <si>
    <t xml:space="preserve">VERGALHÃO CA50 </t>
  </si>
  <si>
    <t>Q283 (CA60)</t>
  </si>
  <si>
    <t>CONCRETO USINADO BOMBEADO</t>
  </si>
  <si>
    <t>COMPENSADO PLASTIFICADO</t>
  </si>
  <si>
    <t>AÇO</t>
  </si>
  <si>
    <t>LONGARINA</t>
  </si>
  <si>
    <t>TRANSVERSINA</t>
  </si>
  <si>
    <t>MÃO FRANCESA</t>
  </si>
  <si>
    <t>LATERAL DO STEEL DECK</t>
  </si>
  <si>
    <t>CHAPA BASE LONGARINA</t>
  </si>
  <si>
    <t>CHUMBADOR LONGARINA</t>
  </si>
  <si>
    <t>VIGA W 610 X 174</t>
  </si>
  <si>
    <t>VIGA W 310 X 52</t>
  </si>
  <si>
    <t>PERFIL U.SIMPLES 300X100#14</t>
  </si>
  <si>
    <t>CHAPA GROSSA 1''</t>
  </si>
  <si>
    <t>BARRA REDONDA 7/8''</t>
  </si>
  <si>
    <t>PISTA DE ROLAMENTO</t>
  </si>
  <si>
    <t>SINALIZAÇÃO VIARIA</t>
  </si>
  <si>
    <t>GUARDA RODA</t>
  </si>
  <si>
    <t>PE GUARDA RODA</t>
  </si>
  <si>
    <t>POSTE DE SINALIZAÇÃO</t>
  </si>
  <si>
    <t>CHAPA BASE POSTE</t>
  </si>
  <si>
    <t>CHUMBADOR POSTE</t>
  </si>
  <si>
    <t>1und x 6,00m x 77,19Kg/m</t>
  </si>
  <si>
    <t>1und x 0,40m x 0,40m x 199,39Kg/m²</t>
  </si>
  <si>
    <t>4und x 1,00m x 3,05Kg/m</t>
  </si>
  <si>
    <t>AREAS</t>
  </si>
  <si>
    <t>ESPESS. 1,25mm x Largura 1,00</t>
  </si>
  <si>
    <t>LONGARINA + TRANSVERSINAS+MÃO FRANCESA</t>
  </si>
  <si>
    <t>FUNDO 1 DEMÃO + TINTA ESMALTE 2 DEMÃO</t>
  </si>
  <si>
    <t>GUARDA RODA + PE GUARDA RODA+POSTE DE SINALIZAÇÃO</t>
  </si>
  <si>
    <t>*** PARA EFEITO DE DESENVOLVIMENTO DE MATERIAL SERÁ CONSIDERADO A AREA COMO UM TODO</t>
  </si>
  <si>
    <t>PLANILHA ORÇAMENTÁRIA</t>
  </si>
  <si>
    <t>FORMA DE EXECUÇÃO:</t>
  </si>
  <si>
    <t>( ) DIRETA</t>
  </si>
  <si>
    <t>( X ) INDIRETA</t>
  </si>
  <si>
    <t>PREÇO GLOBAL TOTAL S/ BDI</t>
  </si>
  <si>
    <t>PREÇO GLOBAL TOTAL C/ BDI</t>
  </si>
  <si>
    <t>PREÇO TOTAL S/ BDI</t>
  </si>
  <si>
    <t>PREÇO TOTAL C/ BDI</t>
  </si>
  <si>
    <t>ITEM</t>
  </si>
  <si>
    <t>FONTE</t>
  </si>
  <si>
    <t>CÓDIGO</t>
  </si>
  <si>
    <t>DESCRIÇÃO DOS SERVIÇOS</t>
  </si>
  <si>
    <t>UND.</t>
  </si>
  <si>
    <t>QUANT.</t>
  </si>
  <si>
    <t>PREÇO UNITÁRIO S/ BDI</t>
  </si>
  <si>
    <t>PREÇO UNITÁRIO C/ BDI</t>
  </si>
  <si>
    <t>1.0</t>
  </si>
  <si>
    <t>MOBILIZAÇÃO E DESMOBILIZAÇÃO DE OBRA</t>
  </si>
  <si>
    <t>M2</t>
  </si>
  <si>
    <t>2.0</t>
  </si>
  <si>
    <t xml:space="preserve">ADMINISTRAÇÃO DE OBRA </t>
  </si>
  <si>
    <t>2.1</t>
  </si>
  <si>
    <t>SINAPI</t>
  </si>
  <si>
    <t>3.0</t>
  </si>
  <si>
    <t>3.1</t>
  </si>
  <si>
    <t>UN</t>
  </si>
  <si>
    <t>3.2</t>
  </si>
  <si>
    <t>H</t>
  </si>
  <si>
    <t>4.0</t>
  </si>
  <si>
    <t>MAQUINAS E EQUIPAMENTOS</t>
  </si>
  <si>
    <t>4.1</t>
  </si>
  <si>
    <t>CHP</t>
  </si>
  <si>
    <t>5.0</t>
  </si>
  <si>
    <t>FUNDAÇÃO</t>
  </si>
  <si>
    <t>M3</t>
  </si>
  <si>
    <t>5.4</t>
  </si>
  <si>
    <t>5.5</t>
  </si>
  <si>
    <t>KG</t>
  </si>
  <si>
    <t>6.0</t>
  </si>
  <si>
    <t xml:space="preserve">MESO ESTRUTURA </t>
  </si>
  <si>
    <t>6.1</t>
  </si>
  <si>
    <t>COMPOSIÇÃO</t>
  </si>
  <si>
    <t>6.3</t>
  </si>
  <si>
    <t>PREFEITURA MUNICIPAL DE SACRAMENTO - MG</t>
  </si>
  <si>
    <t>LOCAL: ZONA RURAL DE SACRAMENTO</t>
  </si>
  <si>
    <t>LOCAÇÃO TOPOGRÁFICA DE VINTE UM (21) ATÉ CINQUENTA (50) PONTOS REFERENCIAIS, INCLUSIVE ESTACA (PIQUETE) DE MARCAÇÃO</t>
  </si>
  <si>
    <t>M</t>
  </si>
  <si>
    <t>CORTE, DOBRA E MONTAGEM DE AÇO CA-50/60, INCLUSIVE ESPAÇADOR</t>
  </si>
  <si>
    <t xml:space="preserve">CHAPA EM ACO GALVANIZADO PARA STEEL DECK, COM NERVURAS TRAPEZOIDAIS, LARGURA UTIL DE 915 MM E ESPESSURA DE 1,25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</si>
  <si>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CRONOGRAMA FÍSICO-FINANCEIRO</t>
  </si>
  <si>
    <t>(  ) IDIRETA</t>
  </si>
  <si>
    <t>ETAPAS / DESCRIÇÃO</t>
  </si>
  <si>
    <t>FÍSICO / FINANCEIRO</t>
  </si>
  <si>
    <t>TOTAL ETAPAS</t>
  </si>
  <si>
    <t>1 MÊS</t>
  </si>
  <si>
    <t>2 MÊS</t>
  </si>
  <si>
    <t>3 MÊS</t>
  </si>
  <si>
    <t>4 MÊS</t>
  </si>
  <si>
    <t>Físico %</t>
  </si>
  <si>
    <t>Financeiro</t>
  </si>
  <si>
    <t>ADMINISTRAÇÃO DE OBRA</t>
  </si>
  <si>
    <t>MESO ESTRUTURA</t>
  </si>
  <si>
    <t xml:space="preserve">SINNALIZAÇÃO VIARIA </t>
  </si>
  <si>
    <t>Físico % Acumulado</t>
  </si>
  <si>
    <t>Financeiro Acumulado</t>
  </si>
  <si>
    <t>QUADRO DE COMPOSIÇÃO DO BDI - PADRÃO</t>
  </si>
  <si>
    <t>TIPO DE OBRA (CONFORME ACÓRDÃO 2622/2013 - TCU)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</si>
  <si>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</si>
  <si>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</si>
  <si>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</si>
  <si>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</si>
  <si>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</si>
  <si>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</si>
  <si>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</si>
  <si>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</si>
  <si>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</si>
  <si>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</si>
  <si>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</si>
  <si>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</si>
  <si>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</si>
  <si>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PIS 0,65%</t>
  </si>
  <si>
    <t>I</t>
  </si>
  <si>
    <t>Tributos COFINS 3,00%</t>
  </si>
  <si>
    <t>Tributos ISS (Legislação Municipal)</t>
  </si>
  <si>
    <t>BDI Conforme Acórdão 2622/2013 - TCU</t>
  </si>
  <si>
    <r>
      <t xml:space="preserve">BDI = </t>
    </r>
    <r>
      <rPr>
        <u/>
        <sz val="8"/>
        <color theme="1"/>
        <rFont val="Arial"/>
        <family val="2"/>
      </rPr>
      <t>(1+AC+S+R+G) * (1+DF) * (1+L)</t>
    </r>
    <r>
      <rPr>
        <sz val="8"/>
        <color theme="1"/>
        <rFont val="Arial"/>
        <family val="2"/>
      </rPr>
      <t xml:space="preserve">     - 1</t>
    </r>
  </si>
  <si>
    <t>(1 - I)</t>
  </si>
  <si>
    <t>PREFEITURA MUNICIPAL DE SACRAMENTO-MG</t>
  </si>
  <si>
    <t>LOCAL: ZONA RURAL DE SACRAMENTO - MG</t>
  </si>
  <si>
    <t>4.2</t>
  </si>
  <si>
    <t>5.1</t>
  </si>
  <si>
    <t>5.6</t>
  </si>
  <si>
    <t>FORNECIMENTO E INSTALAÇÃO DE PINO CONECTORES DE CISALHAMENTO (STUD BOLT) MEIDA DE 19mmX32mm COM ANEL CERAMICO CONECTOR. CALCULO DEMOSNTRADO EM PROJETO ESTRUTURAL</t>
  </si>
  <si>
    <t>GRUPO DE SOLDAGEM COM GERADOR A DIESEL 60 CV PARA SOLDA ELÉTRICA, SOBRE 04 RODAS, COM MOTOR 4 CILINDROS 600 A - CHP DIURNO. AF_02/2016. TEMPO DE OBRA COM USO DE GERADOR 1 MESES X 220 HORAS DE TRABALHO POR MÊS CONFORMES CLT. DEVENDO SER EMPREGADA PARA SOLDAR A ESTRUTURA DA LONGARINAS, TRANSVERSINAS, CHAPAS, STUD BOLT, GUARDA CORPO, POSTES DE SINALIZAÇÃO, PINTURA E DESMONTAGEM DA ANTIGA PONTE</t>
  </si>
  <si>
    <t>GUINDAUTO HIDRÁULICO, CAPACIDADE MÁXIMA DE CARGA 6200 KG, MOMENTO MÁXIMO DE CARGA 11,7 TM, ALCANCE MÁXIMO HORIZONTAL 9,70 M, INCLUSIVE CAMINHÃO TOCO PBT 16.000 KG, POTÊNCIA DE 189 CV - MATERIAIS NA OPERAÇÃO. AF_08/2015. DEVERA SER EMPREGADO PARA RETIRAS AS LONGARINAS EXISTENTES, BEM COMO A PISTA DE ROLAMENTO EXISTENTE, DEVERÁ AUXILIAR NA DESCARGAR DO MATERIAL NO CANTEIRO DE OBRA, MATERIAS DO TIPO PERFIL E AÇO CA50/60, BEM COMO O STEEL DECK E DEMAIS ITENS. CALCULO DE 07 DIAS X 8 HORAS POR DIA DE TRABALHO TOTALIZANDO 160 HORAS A SEREM DISTRIBUIDAS AO LONGO DE TODA A OBRA</t>
  </si>
  <si>
    <t>Declaro para os devidos fins que, conforme legislação tributária municipal, a base de cálculo para Construção de Rodovias e Ferrovias, é de 50%, com a respectiva alíquota de 3%.</t>
  </si>
  <si>
    <t>BDI = 24,74%</t>
  </si>
  <si>
    <t xml:space="preserve">8und x 0,40m x 0,60m x 199,39Kg/m ** </t>
  </si>
  <si>
    <t xml:space="preserve">8und/Placa x 8Placas x 1,00m x 3,05Kg/m ** </t>
  </si>
  <si>
    <t>INSTALAÇÕES CANTEIRO DE OBRA</t>
  </si>
  <si>
    <t>ADMINISTRAÇÃO LOCAL</t>
  </si>
  <si>
    <t>COMP01</t>
  </si>
  <si>
    <t>DESCRIÇÃO</t>
  </si>
  <si>
    <t>QUANTIDADE</t>
  </si>
  <si>
    <t>VALOR UNIT.</t>
  </si>
  <si>
    <t>SICRO</t>
  </si>
  <si>
    <t>MÃO DE OBRA</t>
  </si>
  <si>
    <t>TOTAL GERAL</t>
  </si>
  <si>
    <t>ADMINISTRAÇÃO LOCAL DE OBRA</t>
  </si>
  <si>
    <t>PLACA DE OBRA (PARA CONSTRUCAO CIVIL) EM CHAPA GALVANIZADA *N. 22*, ADESIVADA, DE *2,4 X 1,2* M (SEM POSTES PARA FIXACAO)</t>
  </si>
  <si>
    <t>MÊS</t>
  </si>
  <si>
    <t>MOBILIZAÇÃO E DESMOBILIZAÇÃO DE CONTAINER, INCLUSIVE CARGA, DESCARGA E TRANSPORTE EM CAMINHÃO CARROCERIA COM GUINDAUTO (MUNCK), EXCLUSIVE LOCAÇÃO DO CONTAINER</t>
  </si>
  <si>
    <t>PONTE CÓRREGO DA JOANA</t>
  </si>
  <si>
    <t>PONTE CORREGO DA JOANA</t>
  </si>
  <si>
    <t>Ø 16,00mm (CA50)</t>
  </si>
  <si>
    <t>Ø 6,30mm (CA50)</t>
  </si>
  <si>
    <t>Ø 12,50mm (CA50)</t>
  </si>
  <si>
    <t>22und/m x 18,00m x 5,25m x 0,99kg/m*</t>
  </si>
  <si>
    <t>84und/m x 18,00m x 0,55m x 0,25kg/m*</t>
  </si>
  <si>
    <t>84und/m x 18,00m x 0,70m x 0,25kg/m*</t>
  </si>
  <si>
    <t>Comp. 18,00m x Larg 5,25m x 4,48kg/m*</t>
  </si>
  <si>
    <t>Comp. 18,00m x Larg. 5,25m x Altura 0,30m</t>
  </si>
  <si>
    <t xml:space="preserve">6und x Comp. 18,00m x 174,00Kg/m ** </t>
  </si>
  <si>
    <t xml:space="preserve">6und x Comp. 2,35m x 52,00Kg/m ** </t>
  </si>
  <si>
    <t>VIGA W 250 X 73</t>
  </si>
  <si>
    <t xml:space="preserve">52und x Comp. 1,45m x 73,00Kg/m ** </t>
  </si>
  <si>
    <t xml:space="preserve">2und x Comp. 18,00m x [ 0,30m + 0,10m + 0,10m ] x 15,60Kg/m² ** </t>
  </si>
  <si>
    <t>2 Lados x (Comp. Ponte 18,00m + Comp. Asas 6,00m) x 32,49Kg/m</t>
  </si>
  <si>
    <t>2 Lados x 26und/Lado x 0,50m x 32,49Kg/m</t>
  </si>
  <si>
    <t>Comp. Ponte 18,00m x Larg. 5,25m</t>
  </si>
  <si>
    <t>Comp. Ponte 18,00m x Larg. 5,25m ***</t>
  </si>
  <si>
    <t>6.2</t>
  </si>
  <si>
    <t>COMP02</t>
  </si>
  <si>
    <t>INSUMO</t>
  </si>
  <si>
    <t>M0965</t>
  </si>
  <si>
    <t>Pino conector de cisalhamento para laje steel deck - D=19,00mm C=80mm</t>
  </si>
  <si>
    <t>CONSIDERADO 04 PINOS CONECTORES POR METRO QUADRADO</t>
  </si>
  <si>
    <t>PRAZO DE EXECUÇÃO: 8 MESES</t>
  </si>
  <si>
    <t>BROCA Ø 40cm</t>
  </si>
  <si>
    <t>4und/Pegão x 2 Pegões x [ 4,00m x π x 0,20² ]</t>
  </si>
  <si>
    <t>BROCA Ø 30cm</t>
  </si>
  <si>
    <t>6und/Pegão x 2 Pegões x [ 2,00m x π x 0,15² ]</t>
  </si>
  <si>
    <t>TUBO REDONDO Ø 4" # 3,00mm</t>
  </si>
  <si>
    <t>TUBO REDONDO Ø 5" # 4,25mm</t>
  </si>
  <si>
    <t>_______________________________________________________</t>
  </si>
  <si>
    <t>Resposável Técnico pelo Orçamento</t>
  </si>
  <si>
    <t>Engenheiro Civil Arthur Passos Alves  - CREA 249058/D</t>
  </si>
  <si>
    <t>CAPINA MANUAL DO TERRENO</t>
  </si>
  <si>
    <t xml:space="preserve">LOCACAO DE CONTAINER 2,30 X 4,30 M, ALT. 2,50 M, P/ SANITARIO, C/ 5 BACIAS, 1 LAVATORIO E 4 MICTORIOS (NAO INCLUI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</si>
  <si>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LOCAÇÃO TOPOGRÁFICA DE VINTE UM (21) ATÉ CINQUENTA (50) PONTOS DE REFERÊNCIAS, INCLUSIVE ESTACA (PIQUETE) DE MARCAÇÃO</t>
  </si>
  <si>
    <t>SINAPI-I</t>
  </si>
  <si>
    <t xml:space="preserve">PREGO DE ACO POLIDO COM CABECA 15 X 15 (1 1/4 X 13)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</si>
  <si>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KG    </t>
  </si>
  <si>
    <t xml:space="preserve">SARRAFO *2,5 X 10* CM EM PINUS, MISTA OU EQUIVALENTE DA REGIAO - BRUTA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</si>
  <si>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     </t>
  </si>
  <si>
    <t xml:space="preserve">TOPOGRAFO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</si>
  <si>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     </t>
  </si>
  <si>
    <t xml:space="preserve">AUXILIAR DE TOPOGRAFO (HORISTA)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</si>
  <si>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ESCAVAÇÃO MECÂNICA COM RETROESCAVADEIRA EM MATERIAL DE 1ª CATEGORIA</t>
  </si>
  <si>
    <t>REATERRO E COMPACTAÇÃO COMSOQUETE VIBRATÓRIO</t>
  </si>
  <si>
    <t>ESTACA ESCAVADA MECANICAMENTE, SEM FLUIDO ESTABILIZANTE, COM 25CM DE DIÂMETRO, CONCRETO LANÇADO POR CAMINHÃO BETONEIRA (EXCLUSIVE MOBILIZAÇÃO E DESMOBILIZAÇÃO). AF_01/2020_PA</t>
  </si>
  <si>
    <t>ESTACA ESCAVADA MECANICAMENTE, SEM FLUIDO ESTABILIZANTE, COM 40CM DE DIÂMETRO, CONCRETO LANÇADO POR CAMINHÃO BETONEIRA (EXCLUSIVE MOBILIZAÇÃO E DESMOBILIZAÇÃO). AF_01/2020_PA</t>
  </si>
  <si>
    <t>FÔRMA DE COMPENSADO RESINADO 14 mm -USO GERAL - UTILIZAÇÃO DE 3 VEZES - CONFECÇÃO, INSTALAÇÃO E RETIRADA</t>
  </si>
  <si>
    <t>DEMOLIÇÃO DE CONCRETO ARMADO COM MARTELETE E CORTE OXIACETILINO</t>
  </si>
  <si>
    <t>DESTOCAMENTO DE ÁRVORES COM DIÂMETRO MAIOR QUE 0,30 m</t>
  </si>
  <si>
    <t>PLACA EM AÇO - 3,00 x 1,50 m -PELICULA RETRORREFLETIVA TIPO III + X - FORNECIMENTO E IMPLANTAÇÃO. COM A FINALIDADE DE INDICAR O LIMITE DE VELOCIDADE MAXIMA PERMITIDA E A CAPACIDADE DE CARGA DA PONTE</t>
  </si>
  <si>
    <t>PLACA EM AÇO - 3,00 x 1,50 m -PELICULA RETRORREFLETIVA TIPO III + X - FORNECIMENTO E IMPLANTAÇÃO. COM A FINALIDADE DE INDICAR O NOME DA PONTE A SER DEFINIDO NA EPOCA DA INAUGURAÇÃO</t>
  </si>
  <si>
    <t>COMP05</t>
  </si>
  <si>
    <t>P9801</t>
  </si>
  <si>
    <r>
      <t xml:space="preserve">PLACA DE ADVERTÊNCIA </t>
    </r>
    <r>
      <rPr>
        <b/>
        <sz val="10"/>
        <color rgb="FF000000"/>
        <rFont val="Calibri Light"/>
        <family val="2"/>
        <scheme val="major"/>
      </rPr>
      <t>" PONTE TOTALMENTE INTERDITADA "</t>
    </r>
    <r>
      <rPr>
        <sz val="10"/>
        <color rgb="FF000000"/>
        <rFont val="Calibri Light"/>
        <family val="2"/>
        <scheme val="major"/>
      </rPr>
      <t xml:space="preserve"> EM AÇO, LADO DE 1,20m - PELICULA RETRORREFLETIVA TIPO III + SI - FORNECIMENTO E IMPLANTAÇÃO</t>
    </r>
  </si>
  <si>
    <t>COMP03</t>
  </si>
  <si>
    <t>GUINDAUTO HIDRÁULICO, CAPACIDADE MÁXIMA DE CARGA 3300 KG, MOMENTO MÁXIMO DE CARGA 5,8 TM, ALCANCE MÁXIMO HORIZONTAL 7,60 M, INCLUSIVE CAMINHÃO TOCO PBT 16.000 KG, POTÊNCIA DE 189 CV - CHP DIURNO. AF_03/2016</t>
  </si>
  <si>
    <t>COMP04</t>
  </si>
  <si>
    <t>ESTRUTURA EM PERFIL DE AÇO ASTM A36 CORTE, SOLDA EMONTAGEM - FORNECIMENTO E INSTALAÇÃO</t>
  </si>
  <si>
    <t>E9686</t>
  </si>
  <si>
    <t>CAMINHÃO CARROCERIA CO GUINDAUTO COM CAPACIDADE DE 20 t.m -136 Kw</t>
  </si>
  <si>
    <t>AJUDANTE</t>
  </si>
  <si>
    <t>P9830</t>
  </si>
  <si>
    <t>MONTADOR</t>
  </si>
  <si>
    <t>M3530</t>
  </si>
  <si>
    <t>TUBO MECÂNICO EM AÇO-CARBONO</t>
  </si>
  <si>
    <t>CORTE DE PERFIS METÁLICOS COM MAÇARICO OXIACETILENO</t>
  </si>
  <si>
    <t>CM²</t>
  </si>
  <si>
    <t>SOLDA ELÉTRICA DE PERFIS METÁLICOS E CHAPAS DE AÇO COM ELETRODO E70XX</t>
  </si>
  <si>
    <t>ESTRUTURA EM TUBO MECANICO EM AÇO-CARBONO CORTE, SOLDA E MONTAGEM - FORNECIMENTO E INSTALAÇÃO DE GUARDA RODA, PE DO GUARDA RODA, POSTE DE SINALIZAÇÃO, CHAPA BASE DO POSTE DE SINALIZAÇÃO E CHUMBADOR DO POSTE DE SINALIZAÇÃO.</t>
  </si>
  <si>
    <t>REFERÊNCIA/COMPOSIÇÃO: SICRO 07/2024 - SINAPI 10/2024</t>
  </si>
  <si>
    <t>PRAZO DE EXECUÇÃO DA PONTE : 4 MESES</t>
  </si>
  <si>
    <t>EQUIPAMENTO</t>
  </si>
  <si>
    <t>OBRA: CONSTRUÇÃO DE PONTE NO MUNICÍPIO DE SACRAMENTO</t>
  </si>
  <si>
    <t>1.1</t>
  </si>
  <si>
    <t>2.2</t>
  </si>
  <si>
    <t>2.3</t>
  </si>
  <si>
    <t>2.4</t>
  </si>
  <si>
    <t>2.5</t>
  </si>
  <si>
    <t>2.6</t>
  </si>
  <si>
    <t>4.3</t>
  </si>
  <si>
    <t>4.4</t>
  </si>
  <si>
    <t>4.5</t>
  </si>
  <si>
    <t>4.6</t>
  </si>
  <si>
    <t>4.7</t>
  </si>
  <si>
    <t>4.8</t>
  </si>
  <si>
    <t>4.9</t>
  </si>
  <si>
    <t>5.2</t>
  </si>
  <si>
    <t>5.3</t>
  </si>
  <si>
    <t>PLANILHA DE COMPOSIÇÕES</t>
  </si>
  <si>
    <t xml:space="preserve">SINALIZAÇÃO VIÁRIA </t>
  </si>
  <si>
    <t>MÁQUINAS E EQUIPAMENTOS</t>
  </si>
  <si>
    <t>Responsável Técnico pelo Orçamento</t>
  </si>
  <si>
    <t xml:space="preserve"> </t>
  </si>
  <si>
    <t>E9125</t>
  </si>
  <si>
    <t>Veículo tipo van furgão com capacidade de 1,54 t - 93 kW</t>
  </si>
  <si>
    <t>CHI</t>
  </si>
  <si>
    <t>E9600</t>
  </si>
  <si>
    <t>Caminhão betoneira com capacidade de 8 m³ - 188 kW</t>
  </si>
  <si>
    <t>A9371</t>
  </si>
  <si>
    <t>Bomba para concreto com lança montada sobre chassi com capacidade de 50 m³/h</t>
  </si>
  <si>
    <t>E9041</t>
  </si>
  <si>
    <t>Caminhão carroceria com guindauto com capacidade de 45 t.m - 188 kW</t>
  </si>
  <si>
    <t>MOBILIZAÇÃO E DESMOBILIZAÇÃO</t>
  </si>
  <si>
    <t>PLANILHA DE COMPOSIÇÃO</t>
  </si>
  <si>
    <t>7.0</t>
  </si>
  <si>
    <t>7.1</t>
  </si>
  <si>
    <t>COMP06</t>
  </si>
  <si>
    <t>1525</t>
  </si>
  <si>
    <t xml:space="preserve">CONCRETO USINADO BOMBEAVEL, CLASSE DE RESISTENCIA C30, BRITA 0 E 1, SLUMP = 100 +/- 20 MM, COM BOMBEAMENTO (DISPONIBILIZACAO DE BOMBA), SEM O LANCAMENTO (NBR 8953)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</si>
  <si>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</t>
  </si>
  <si>
    <t>LANÇAMENTO COM USO DE BOMBA, ADENSAMENTO E ACABAMENTO DE CONCRETO EM ESTRUTURAS. AF_02/2022</t>
  </si>
  <si>
    <t>ENGENHEIRO CIVIL DE OBRA JUNIOR (MENSALISTA)</t>
  </si>
  <si>
    <t>ENCARREGADO GERAL DE OBRAS (MENSALISTA)</t>
  </si>
  <si>
    <t>SERVENTE DE OBRAS (HORISTA)</t>
  </si>
  <si>
    <t>MONTADOR DE ESTRUTURAS METALICAS HORISTA</t>
  </si>
  <si>
    <t>P9812</t>
  </si>
  <si>
    <t>P9840</t>
  </si>
  <si>
    <t>P9824</t>
  </si>
  <si>
    <t>5.7</t>
  </si>
  <si>
    <t xml:space="preserve">Físico % </t>
  </si>
  <si>
    <t xml:space="preserve">Financeiro </t>
  </si>
  <si>
    <t>TOTAL ACUMULADO</t>
  </si>
  <si>
    <t>REFERÊNCIA/COMPOSIÇÃO: SICRO 10/2024 - SINAPI 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</si>
</sst>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164" formatCode="#,##0.0000"/>
    <numFmt numFmtId="165" formatCode="0.0000"/>
    <numFmt numFmtId="166" formatCode="0.000"/>
    <numFmt numFmtId="167" formatCode="0.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u/>
      <sz val="11"/>
      <color theme="1"/>
      <name val="Arial"/>
      <family val="2"/>
    </font>
    <font>
      <b/>
      <sz val="9"/>
      <color theme="1"/>
      <name val="Arial"/>
      <family val="2"/>
    </font>
    <font>
      <u/>
      <sz val="8"/>
      <color theme="1"/>
      <name val="Arial"/>
      <family val="2"/>
    </font>
    <font>
      <sz val="11"/>
      <color rgb="FF000000"/>
      <name val="Calibri"/>
      <family val="2"/>
      <scheme val="minor"/>
    </font>
    <font>
      <sz val="1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color rgb="FF000000"/>
      <name val="Calibri Light"/>
      <family val="2"/>
      <scheme val="major"/>
    </font>
    <font>
      <sz val="10"/>
      <color theme="1"/>
      <name val="Arial"/>
      <family val="2"/>
    </font>
    <font>
      <b/>
      <sz val="12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0"/>
      <color rgb="FF000000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6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9" fontId="5" fillId="0" borderId="8" xfId="2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9" fontId="5" fillId="0" borderId="14" xfId="2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0" fontId="4" fillId="0" borderId="2" xfId="0" applyNumberFormat="1" applyFont="1" applyBorder="1" applyAlignment="1">
      <alignment horizontal="center" vertical="center"/>
    </xf>
    <xf numFmtId="0" fontId="5" fillId="2" borderId="19" xfId="0" applyFont="1" applyFill="1" applyBorder="1"/>
    <xf numFmtId="0" fontId="5" fillId="2" borderId="20" xfId="0" applyFont="1" applyFill="1" applyBorder="1"/>
    <xf numFmtId="0" fontId="1" fillId="5" borderId="23" xfId="0" applyFont="1" applyFill="1" applyBorder="1"/>
    <xf numFmtId="0" fontId="1" fillId="5" borderId="24" xfId="0" applyFont="1" applyFill="1" applyBorder="1"/>
    <xf numFmtId="0" fontId="1" fillId="5" borderId="25" xfId="0" applyFont="1" applyFill="1" applyBorder="1" applyAlignment="1">
      <alignment horizontal="center" vertical="center"/>
    </xf>
    <xf numFmtId="0" fontId="1" fillId="5" borderId="25" xfId="0" applyFont="1" applyFill="1" applyBorder="1"/>
    <xf numFmtId="44" fontId="1" fillId="5" borderId="25" xfId="1" applyFont="1" applyFill="1" applyBorder="1" applyAlignment="1">
      <alignment horizontal="center" vertical="center"/>
    </xf>
    <xf numFmtId="44" fontId="1" fillId="5" borderId="26" xfId="1" applyFont="1" applyFill="1" applyBorder="1" applyAlignment="1">
      <alignment horizontal="center" vertical="center"/>
    </xf>
    <xf numFmtId="0" fontId="0" fillId="0" borderId="27" xfId="0" applyBorder="1"/>
    <xf numFmtId="0" fontId="0" fillId="3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4" fontId="0" fillId="0" borderId="1" xfId="1" applyFont="1" applyBorder="1" applyAlignment="1">
      <alignment horizontal="center" vertical="center"/>
    </xf>
    <xf numFmtId="44" fontId="0" fillId="0" borderId="28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4" fontId="9" fillId="0" borderId="1" xfId="1" applyFont="1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1" xfId="0" applyBorder="1"/>
    <xf numFmtId="0" fontId="0" fillId="0" borderId="29" xfId="0" applyBorder="1"/>
    <xf numFmtId="2" fontId="0" fillId="0" borderId="30" xfId="0" applyNumberFormat="1" applyBorder="1" applyAlignment="1">
      <alignment horizontal="center" vertical="center"/>
    </xf>
    <xf numFmtId="0" fontId="0" fillId="0" borderId="30" xfId="0" applyBorder="1"/>
    <xf numFmtId="0" fontId="0" fillId="0" borderId="30" xfId="0" applyBorder="1" applyAlignment="1">
      <alignment horizontal="center" vertical="center"/>
    </xf>
    <xf numFmtId="44" fontId="0" fillId="0" borderId="30" xfId="1" applyFont="1" applyBorder="1" applyAlignment="1">
      <alignment horizontal="center" vertical="center"/>
    </xf>
    <xf numFmtId="44" fontId="0" fillId="0" borderId="31" xfId="1" applyFont="1" applyBorder="1" applyAlignment="1">
      <alignment horizontal="center" vertical="center"/>
    </xf>
    <xf numFmtId="44" fontId="1" fillId="5" borderId="2" xfId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vertical="center" wrapText="1"/>
    </xf>
    <xf numFmtId="2" fontId="10" fillId="0" borderId="2" xfId="0" applyNumberFormat="1" applyFont="1" applyBorder="1" applyAlignment="1">
      <alignment horizontal="center" vertical="center"/>
    </xf>
    <xf numFmtId="44" fontId="10" fillId="0" borderId="2" xfId="1" applyFont="1" applyBorder="1" applyAlignment="1">
      <alignment horizontal="center" vertical="center"/>
    </xf>
    <xf numFmtId="0" fontId="12" fillId="0" borderId="0" xfId="0" applyFont="1"/>
    <xf numFmtId="44" fontId="11" fillId="2" borderId="2" xfId="1" applyFont="1" applyFill="1" applyBorder="1" applyAlignment="1">
      <alignment horizontal="center" vertical="center" wrapText="1"/>
    </xf>
    <xf numFmtId="44" fontId="11" fillId="2" borderId="2" xfId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44" fontId="12" fillId="0" borderId="2" xfId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44" fontId="12" fillId="0" borderId="2" xfId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44" fontId="12" fillId="0" borderId="2" xfId="1" applyFont="1" applyFill="1" applyBorder="1" applyAlignment="1">
      <alignment horizontal="center" vertical="center"/>
    </xf>
    <xf numFmtId="44" fontId="10" fillId="3" borderId="2" xfId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2" fontId="12" fillId="0" borderId="2" xfId="0" applyNumberFormat="1" applyFont="1" applyFill="1" applyBorder="1" applyAlignment="1">
      <alignment horizontal="center" vertical="center"/>
    </xf>
    <xf numFmtId="44" fontId="12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2" fontId="10" fillId="3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4" fontId="13" fillId="0" borderId="2" xfId="0" applyNumberFormat="1" applyFont="1" applyBorder="1" applyAlignment="1">
      <alignment horizontal="center" vertical="center" wrapText="1"/>
    </xf>
    <xf numFmtId="44" fontId="13" fillId="0" borderId="2" xfId="1" applyFont="1" applyBorder="1" applyAlignment="1">
      <alignment horizontal="center" vertical="center" wrapText="1"/>
    </xf>
    <xf numFmtId="0" fontId="12" fillId="0" borderId="0" xfId="0" applyFont="1" applyFill="1"/>
    <xf numFmtId="0" fontId="0" fillId="0" borderId="27" xfId="0" applyBorder="1" applyAlignment="1">
      <alignment horizontal="left" vertical="center"/>
    </xf>
    <xf numFmtId="44" fontId="5" fillId="4" borderId="11" xfId="1" applyFont="1" applyFill="1" applyBorder="1" applyAlignment="1">
      <alignment horizontal="center" vertical="center"/>
    </xf>
    <xf numFmtId="44" fontId="5" fillId="4" borderId="16" xfId="1" applyFont="1" applyFill="1" applyBorder="1" applyAlignment="1">
      <alignment horizontal="center" vertical="center"/>
    </xf>
    <xf numFmtId="0" fontId="17" fillId="0" borderId="0" xfId="0" applyFont="1"/>
    <xf numFmtId="0" fontId="17" fillId="0" borderId="27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2" fontId="17" fillId="0" borderId="0" xfId="0" applyNumberFormat="1" applyFont="1"/>
    <xf numFmtId="0" fontId="17" fillId="0" borderId="19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2" fontId="17" fillId="0" borderId="0" xfId="0" applyNumberFormat="1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44" fontId="12" fillId="0" borderId="0" xfId="0" applyNumberFormat="1" applyFont="1"/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44" fontId="12" fillId="0" borderId="0" xfId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right" vertical="center"/>
    </xf>
    <xf numFmtId="44" fontId="11" fillId="0" borderId="0" xfId="1" applyFont="1" applyFill="1" applyBorder="1" applyAlignment="1">
      <alignment horizontal="center" vertical="center" wrapText="1"/>
    </xf>
    <xf numFmtId="44" fontId="11" fillId="0" borderId="0" xfId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2" fontId="10" fillId="0" borderId="0" xfId="0" applyNumberFormat="1" applyFont="1" applyFill="1" applyBorder="1" applyAlignment="1">
      <alignment horizontal="center" vertical="center"/>
    </xf>
    <xf numFmtId="44" fontId="12" fillId="0" borderId="0" xfId="1" applyFont="1" applyFill="1" applyBorder="1" applyAlignment="1">
      <alignment horizontal="center" vertical="center" wrapText="1"/>
    </xf>
    <xf numFmtId="44" fontId="10" fillId="0" borderId="0" xfId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 wrapText="1"/>
    </xf>
    <xf numFmtId="4" fontId="12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44" fontId="13" fillId="0" borderId="0" xfId="1" applyFont="1" applyFill="1" applyBorder="1" applyAlignment="1">
      <alignment horizontal="center" vertical="center" wrapText="1"/>
    </xf>
    <xf numFmtId="0" fontId="12" fillId="0" borderId="0" xfId="0" applyFont="1" applyBorder="1"/>
    <xf numFmtId="44" fontId="11" fillId="0" borderId="20" xfId="1" applyFont="1" applyFill="1" applyBorder="1" applyAlignment="1">
      <alignment horizontal="center" vertical="center"/>
    </xf>
    <xf numFmtId="44" fontId="11" fillId="0" borderId="20" xfId="1" applyFont="1" applyFill="1" applyBorder="1" applyAlignment="1">
      <alignment horizontal="center" vertical="center" wrapText="1"/>
    </xf>
    <xf numFmtId="44" fontId="12" fillId="0" borderId="20" xfId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1" xfId="1" applyFont="1" applyBorder="1" applyAlignment="1">
      <alignment vertical="center"/>
    </xf>
    <xf numFmtId="0" fontId="0" fillId="0" borderId="37" xfId="0" applyBorder="1"/>
    <xf numFmtId="0" fontId="0" fillId="0" borderId="38" xfId="0" applyBorder="1" applyAlignment="1">
      <alignment vertical="center" wrapText="1"/>
    </xf>
    <xf numFmtId="0" fontId="10" fillId="0" borderId="2" xfId="0" applyNumberFormat="1" applyFont="1" applyBorder="1" applyAlignment="1">
      <alignment horizontal="center" vertical="center"/>
    </xf>
    <xf numFmtId="44" fontId="12" fillId="0" borderId="2" xfId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44" fontId="0" fillId="0" borderId="1" xfId="1" applyFont="1" applyBorder="1" applyAlignment="1">
      <alignment horizontal="left" vertical="center"/>
    </xf>
    <xf numFmtId="44" fontId="0" fillId="0" borderId="28" xfId="1" applyFont="1" applyBorder="1" applyAlignment="1">
      <alignment horizontal="left" vertical="center"/>
    </xf>
    <xf numFmtId="44" fontId="14" fillId="0" borderId="1" xfId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4" fontId="9" fillId="0" borderId="1" xfId="1" applyFont="1" applyBorder="1" applyAlignment="1">
      <alignment horizontal="left" vertical="center"/>
    </xf>
    <xf numFmtId="44" fontId="0" fillId="0" borderId="28" xfId="1" applyFont="1" applyBorder="1" applyAlignment="1">
      <alignment vertical="center" wrapText="1"/>
    </xf>
    <xf numFmtId="0" fontId="0" fillId="0" borderId="38" xfId="0" applyBorder="1" applyAlignment="1">
      <alignment horizontal="center" vertical="center" wrapText="1"/>
    </xf>
    <xf numFmtId="164" fontId="9" fillId="0" borderId="1" xfId="0" applyNumberFormat="1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165" fontId="0" fillId="0" borderId="30" xfId="0" applyNumberFormat="1" applyBorder="1" applyAlignment="1">
      <alignment vertical="center"/>
    </xf>
    <xf numFmtId="44" fontId="0" fillId="0" borderId="0" xfId="0" applyNumberFormat="1"/>
    <xf numFmtId="0" fontId="12" fillId="0" borderId="0" xfId="0" applyFont="1" applyAlignment="1">
      <alignment horizontal="center" vertical="center"/>
    </xf>
    <xf numFmtId="166" fontId="9" fillId="0" borderId="1" xfId="0" applyNumberFormat="1" applyFont="1" applyBorder="1" applyAlignment="1">
      <alignment vertical="center" wrapText="1"/>
    </xf>
    <xf numFmtId="44" fontId="0" fillId="0" borderId="38" xfId="1" applyFont="1" applyBorder="1" applyAlignment="1">
      <alignment vertical="center" wrapText="1"/>
    </xf>
    <xf numFmtId="0" fontId="0" fillId="0" borderId="38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/>
    </xf>
    <xf numFmtId="4" fontId="0" fillId="0" borderId="0" xfId="0" applyNumberFormat="1"/>
    <xf numFmtId="9" fontId="0" fillId="0" borderId="0" xfId="2" applyFont="1"/>
    <xf numFmtId="44" fontId="0" fillId="0" borderId="0" xfId="1" applyFont="1"/>
    <xf numFmtId="10" fontId="0" fillId="0" borderId="0" xfId="2" applyNumberFormat="1" applyFont="1"/>
    <xf numFmtId="44" fontId="0" fillId="0" borderId="39" xfId="1" applyFont="1" applyBorder="1" applyAlignment="1">
      <alignment vertical="center" wrapText="1"/>
    </xf>
    <xf numFmtId="0" fontId="0" fillId="0" borderId="0" xfId="0" applyBorder="1"/>
    <xf numFmtId="0" fontId="0" fillId="0" borderId="20" xfId="0" applyBorder="1"/>
    <xf numFmtId="0" fontId="18" fillId="0" borderId="27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0" fillId="0" borderId="36" xfId="0" applyBorder="1"/>
    <xf numFmtId="0" fontId="0" fillId="0" borderId="22" xfId="0" applyBorder="1"/>
    <xf numFmtId="0" fontId="11" fillId="0" borderId="0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2" fontId="10" fillId="0" borderId="2" xfId="0" applyNumberFormat="1" applyFont="1" applyFill="1" applyBorder="1" applyAlignment="1">
      <alignment horizontal="center" vertical="center"/>
    </xf>
    <xf numFmtId="44" fontId="10" fillId="0" borderId="2" xfId="1" applyFont="1" applyFill="1" applyBorder="1" applyAlignment="1">
      <alignment horizontal="center" vertical="center"/>
    </xf>
    <xf numFmtId="44" fontId="11" fillId="6" borderId="2" xfId="1" applyFont="1" applyFill="1" applyBorder="1" applyAlignment="1">
      <alignment horizontal="center" vertical="center" wrapText="1"/>
    </xf>
    <xf numFmtId="44" fontId="11" fillId="6" borderId="2" xfId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49" fontId="11" fillId="6" borderId="2" xfId="0" applyNumberFormat="1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44" fontId="18" fillId="2" borderId="2" xfId="1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8" fillId="2" borderId="2" xfId="0" applyFont="1" applyFill="1" applyBorder="1" applyAlignment="1">
      <alignment horizontal="left" vertical="center" wrapText="1"/>
    </xf>
    <xf numFmtId="0" fontId="0" fillId="0" borderId="19" xfId="0" applyBorder="1"/>
    <xf numFmtId="0" fontId="0" fillId="0" borderId="21" xfId="0" applyBorder="1"/>
    <xf numFmtId="44" fontId="0" fillId="0" borderId="1" xfId="1" applyFont="1" applyBorder="1" applyAlignment="1">
      <alignment vertical="center" wrapText="1"/>
    </xf>
    <xf numFmtId="44" fontId="9" fillId="0" borderId="1" xfId="1" applyFont="1" applyBorder="1" applyAlignment="1">
      <alignment horizontal="left" vertical="center" wrapText="1"/>
    </xf>
    <xf numFmtId="0" fontId="5" fillId="2" borderId="0" xfId="0" applyFont="1" applyFill="1" applyBorder="1"/>
    <xf numFmtId="0" fontId="11" fillId="0" borderId="19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17" fillId="0" borderId="21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10" fontId="5" fillId="7" borderId="2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3" borderId="30" xfId="0" applyFill="1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167" fontId="0" fillId="0" borderId="38" xfId="0" applyNumberFormat="1" applyBorder="1" applyAlignment="1">
      <alignment vertical="center" wrapText="1"/>
    </xf>
    <xf numFmtId="0" fontId="0" fillId="0" borderId="33" xfId="0" applyBorder="1"/>
    <xf numFmtId="0" fontId="0" fillId="0" borderId="43" xfId="0" applyBorder="1" applyAlignment="1">
      <alignment vertical="center" wrapText="1"/>
    </xf>
    <xf numFmtId="0" fontId="0" fillId="0" borderId="43" xfId="0" applyBorder="1" applyAlignment="1">
      <alignment horizontal="center" vertical="center" wrapText="1"/>
    </xf>
    <xf numFmtId="2" fontId="0" fillId="0" borderId="43" xfId="0" applyNumberFormat="1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1" fillId="5" borderId="40" xfId="0" applyFont="1" applyFill="1" applyBorder="1"/>
    <xf numFmtId="0" fontId="1" fillId="5" borderId="45" xfId="0" applyFont="1" applyFill="1" applyBorder="1"/>
    <xf numFmtId="0" fontId="1" fillId="5" borderId="41" xfId="0" applyFont="1" applyFill="1" applyBorder="1" applyAlignment="1">
      <alignment horizontal="center" vertical="center"/>
    </xf>
    <xf numFmtId="0" fontId="1" fillId="5" borderId="41" xfId="0" applyFont="1" applyFill="1" applyBorder="1"/>
    <xf numFmtId="44" fontId="1" fillId="5" borderId="41" xfId="1" applyFont="1" applyFill="1" applyBorder="1" applyAlignment="1">
      <alignment horizontal="center" vertical="center"/>
    </xf>
    <xf numFmtId="44" fontId="1" fillId="5" borderId="42" xfId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vertical="center"/>
    </xf>
    <xf numFmtId="9" fontId="5" fillId="3" borderId="12" xfId="2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10" fontId="5" fillId="0" borderId="8" xfId="2" applyNumberFormat="1" applyFont="1" applyBorder="1" applyAlignment="1">
      <alignment horizontal="center" vertical="center"/>
    </xf>
    <xf numFmtId="10" fontId="0" fillId="0" borderId="0" xfId="0" applyNumberFormat="1" applyFill="1" applyBorder="1"/>
    <xf numFmtId="44" fontId="0" fillId="0" borderId="0" xfId="1" applyFont="1" applyFill="1" applyBorder="1"/>
    <xf numFmtId="0" fontId="11" fillId="0" borderId="19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44" fontId="12" fillId="0" borderId="0" xfId="1" applyFont="1"/>
    <xf numFmtId="0" fontId="12" fillId="0" borderId="17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44" fontId="12" fillId="0" borderId="32" xfId="0" applyNumberFormat="1" applyFont="1" applyFill="1" applyBorder="1" applyAlignment="1">
      <alignment horizontal="center" vertical="center"/>
    </xf>
    <xf numFmtId="44" fontId="12" fillId="0" borderId="6" xfId="0" applyNumberFormat="1" applyFont="1" applyFill="1" applyBorder="1" applyAlignment="1">
      <alignment horizontal="center" vertical="center"/>
    </xf>
    <xf numFmtId="44" fontId="11" fillId="0" borderId="32" xfId="1" applyFont="1" applyFill="1" applyBorder="1" applyAlignment="1">
      <alignment horizontal="center" vertical="center" wrapText="1"/>
    </xf>
    <xf numFmtId="44" fontId="11" fillId="0" borderId="32" xfId="1" applyFont="1" applyFill="1" applyBorder="1" applyAlignment="1">
      <alignment horizontal="center" vertical="center"/>
    </xf>
    <xf numFmtId="44" fontId="11" fillId="0" borderId="18" xfId="1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44" fontId="12" fillId="0" borderId="22" xfId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44" fontId="11" fillId="0" borderId="3" xfId="1" applyFont="1" applyBorder="1" applyAlignment="1">
      <alignment horizontal="center" vertical="center"/>
    </xf>
    <xf numFmtId="44" fontId="11" fillId="0" borderId="5" xfId="1" applyFont="1" applyBorder="1" applyAlignment="1">
      <alignment horizontal="center" vertical="center"/>
    </xf>
    <xf numFmtId="44" fontId="11" fillId="6" borderId="2" xfId="1" applyFont="1" applyFill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/>
    </xf>
    <xf numFmtId="44" fontId="11" fillId="0" borderId="2" xfId="1" applyFont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right" vertical="center"/>
    </xf>
    <xf numFmtId="0" fontId="11" fillId="2" borderId="4" xfId="0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right" vertical="center"/>
    </xf>
    <xf numFmtId="0" fontId="18" fillId="2" borderId="2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right" vertical="center"/>
    </xf>
    <xf numFmtId="44" fontId="12" fillId="0" borderId="0" xfId="1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right" vertical="center"/>
    </xf>
    <xf numFmtId="0" fontId="18" fillId="2" borderId="4" xfId="0" applyFont="1" applyFill="1" applyBorder="1" applyAlignment="1">
      <alignment horizontal="right" vertical="center"/>
    </xf>
    <xf numFmtId="0" fontId="18" fillId="2" borderId="5" xfId="0" applyFont="1" applyFill="1" applyBorder="1" applyAlignment="1">
      <alignment horizontal="right" vertical="center"/>
    </xf>
    <xf numFmtId="44" fontId="10" fillId="0" borderId="36" xfId="1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right"/>
    </xf>
    <xf numFmtId="0" fontId="1" fillId="5" borderId="4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21" fillId="5" borderId="17" xfId="0" applyFont="1" applyFill="1" applyBorder="1" applyAlignment="1">
      <alignment horizontal="center" vertical="center"/>
    </xf>
    <xf numFmtId="0" fontId="21" fillId="5" borderId="32" xfId="0" applyFont="1" applyFill="1" applyBorder="1" applyAlignment="1">
      <alignment horizontal="center" vertical="center"/>
    </xf>
    <xf numFmtId="0" fontId="21" fillId="5" borderId="18" xfId="0" applyFont="1" applyFill="1" applyBorder="1" applyAlignment="1">
      <alignment horizontal="center" vertical="center"/>
    </xf>
    <xf numFmtId="0" fontId="21" fillId="5" borderId="21" xfId="0" applyFont="1" applyFill="1" applyBorder="1" applyAlignment="1">
      <alignment horizontal="center" vertical="center"/>
    </xf>
    <xf numFmtId="0" fontId="21" fillId="5" borderId="36" xfId="0" applyFont="1" applyFill="1" applyBorder="1" applyAlignment="1">
      <alignment horizontal="center" vertical="center"/>
    </xf>
    <xf numFmtId="0" fontId="21" fillId="5" borderId="22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20" xfId="0" applyFont="1" applyBorder="1" applyAlignment="1">
      <alignment horizontal="left" vertical="center"/>
    </xf>
    <xf numFmtId="0" fontId="1" fillId="5" borderId="3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 wrapText="1"/>
    </xf>
    <xf numFmtId="0" fontId="1" fillId="5" borderId="5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1" fillId="5" borderId="3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4" borderId="3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/>
    </xf>
    <xf numFmtId="44" fontId="7" fillId="4" borderId="3" xfId="1" applyFont="1" applyFill="1" applyBorder="1" applyAlignment="1">
      <alignment horizontal="center"/>
    </xf>
    <xf numFmtId="44" fontId="7" fillId="4" borderId="4" xfId="1" applyFont="1" applyFill="1" applyBorder="1" applyAlignment="1">
      <alignment horizontal="center"/>
    </xf>
    <xf numFmtId="44" fontId="7" fillId="4" borderId="5" xfId="1" applyFont="1" applyFill="1" applyBorder="1" applyAlignment="1">
      <alignment horizontal="center"/>
    </xf>
    <xf numFmtId="0" fontId="7" fillId="4" borderId="17" xfId="0" applyFont="1" applyFill="1" applyBorder="1" applyAlignment="1">
      <alignment horizontal="left"/>
    </xf>
    <xf numFmtId="0" fontId="7" fillId="4" borderId="32" xfId="0" applyFont="1" applyFill="1" applyBorder="1" applyAlignment="1">
      <alignment horizontal="left"/>
    </xf>
    <xf numFmtId="0" fontId="7" fillId="4" borderId="18" xfId="0" applyFont="1" applyFill="1" applyBorder="1" applyAlignment="1">
      <alignment horizontal="left"/>
    </xf>
    <xf numFmtId="44" fontId="4" fillId="4" borderId="17" xfId="1" applyFont="1" applyFill="1" applyBorder="1" applyAlignment="1">
      <alignment horizontal="center"/>
    </xf>
    <xf numFmtId="44" fontId="4" fillId="4" borderId="18" xfId="1" applyFont="1" applyFill="1" applyBorder="1" applyAlignment="1">
      <alignment horizontal="center"/>
    </xf>
    <xf numFmtId="0" fontId="22" fillId="5" borderId="17" xfId="0" applyFont="1" applyFill="1" applyBorder="1" applyAlignment="1">
      <alignment horizontal="center" vertical="center"/>
    </xf>
    <xf numFmtId="0" fontId="22" fillId="5" borderId="32" xfId="0" applyFont="1" applyFill="1" applyBorder="1" applyAlignment="1">
      <alignment horizontal="center" vertical="center"/>
    </xf>
    <xf numFmtId="0" fontId="22" fillId="5" borderId="18" xfId="0" applyFont="1" applyFill="1" applyBorder="1" applyAlignment="1">
      <alignment horizontal="center" vertical="center"/>
    </xf>
    <xf numFmtId="0" fontId="22" fillId="5" borderId="21" xfId="0" applyFont="1" applyFill="1" applyBorder="1" applyAlignment="1">
      <alignment horizontal="center" vertical="center"/>
    </xf>
    <xf numFmtId="0" fontId="22" fillId="5" borderId="36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4" fontId="4" fillId="0" borderId="0" xfId="1" applyFont="1" applyFill="1" applyBorder="1" applyAlignment="1">
      <alignment horizontal="center" vertical="center"/>
    </xf>
    <xf numFmtId="10" fontId="4" fillId="0" borderId="6" xfId="2" applyNumberFormat="1" applyFont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0" fontId="4" fillId="0" borderId="6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4" fontId="4" fillId="0" borderId="6" xfId="1" applyFont="1" applyBorder="1" applyAlignment="1">
      <alignment horizontal="center" vertical="center"/>
    </xf>
    <xf numFmtId="44" fontId="4" fillId="0" borderId="9" xfId="1" applyFont="1" applyBorder="1" applyAlignment="1">
      <alignment horizontal="center" vertical="center"/>
    </xf>
    <xf numFmtId="44" fontId="4" fillId="4" borderId="6" xfId="1" applyFont="1" applyFill="1" applyBorder="1" applyAlignment="1">
      <alignment horizontal="center" vertical="center"/>
    </xf>
    <xf numFmtId="44" fontId="4" fillId="4" borderId="9" xfId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0" fontId="4" fillId="4" borderId="6" xfId="2" applyNumberFormat="1" applyFont="1" applyFill="1" applyBorder="1" applyAlignment="1">
      <alignment horizontal="center" vertical="center"/>
    </xf>
    <xf numFmtId="10" fontId="4" fillId="4" borderId="9" xfId="2" applyNumberFormat="1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left"/>
    </xf>
    <xf numFmtId="0" fontId="7" fillId="7" borderId="4" xfId="0" applyFont="1" applyFill="1" applyBorder="1" applyAlignment="1">
      <alignment horizontal="left"/>
    </xf>
    <xf numFmtId="0" fontId="7" fillId="7" borderId="5" xfId="0" applyFont="1" applyFill="1" applyBorder="1" applyAlignment="1">
      <alignment horizontal="left"/>
    </xf>
    <xf numFmtId="0" fontId="5" fillId="2" borderId="19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16" fillId="6" borderId="3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/>
    </xf>
    <xf numFmtId="0" fontId="16" fillId="6" borderId="5" xfId="0" applyFont="1" applyFill="1" applyBorder="1" applyAlignment="1">
      <alignment horizontal="center"/>
    </xf>
    <xf numFmtId="0" fontId="16" fillId="6" borderId="40" xfId="0" applyFont="1" applyFill="1" applyBorder="1" applyAlignment="1">
      <alignment horizontal="center" vertical="center"/>
    </xf>
    <xf numFmtId="0" fontId="16" fillId="6" borderId="41" xfId="0" applyFont="1" applyFill="1" applyBorder="1" applyAlignment="1">
      <alignment horizontal="center" vertical="center"/>
    </xf>
    <xf numFmtId="0" fontId="16" fillId="6" borderId="42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5"/>
  <sheetViews>
    <sheetView showGridLines="0" tabSelected="1" zoomScaleNormal="100" workbookViewId="0">
      <selection activeCell="M14" sqref="M14"/>
    </sheetView>
  </sheetViews>
  <sheetFormatPr defaultRowHeight="12.75" x14ac:dyDescent="0.2"/>
  <cols>
    <col min="1" max="1" width="5.28515625" style="45" bestFit="1" customWidth="1"/>
    <col min="2" max="2" width="11.7109375" style="45" bestFit="1" customWidth="1"/>
    <col min="3" max="3" width="11.140625" style="45" bestFit="1" customWidth="1"/>
    <col min="4" max="4" width="75.5703125" style="68" customWidth="1"/>
    <col min="5" max="5" width="5.42578125" style="57" bestFit="1" customWidth="1"/>
    <col min="6" max="6" width="8.42578125" style="145" bestFit="1" customWidth="1"/>
    <col min="7" max="7" width="16" style="45" bestFit="1" customWidth="1"/>
    <col min="8" max="8" width="16.5703125" style="45" bestFit="1" customWidth="1"/>
    <col min="9" max="9" width="18.140625" style="45" bestFit="1" customWidth="1"/>
    <col min="10" max="10" width="20.140625" style="45" bestFit="1" customWidth="1"/>
    <col min="11" max="11" width="9.140625" style="45"/>
    <col min="12" max="12" width="10" style="45" bestFit="1" customWidth="1"/>
    <col min="13" max="14" width="15" style="45" bestFit="1" customWidth="1"/>
    <col min="15" max="15" width="10.42578125" style="45" customWidth="1"/>
    <col min="16" max="16" width="11.42578125" style="45" customWidth="1"/>
    <col min="17" max="16384" width="9.140625" style="45"/>
  </cols>
  <sheetData>
    <row r="1" spans="1:18" ht="21.75" customHeight="1" thickBot="1" x14ac:dyDescent="0.25">
      <c r="A1" s="240" t="s">
        <v>77</v>
      </c>
      <c r="B1" s="240"/>
      <c r="C1" s="240"/>
      <c r="D1" s="240"/>
      <c r="E1" s="240"/>
      <c r="F1" s="240"/>
      <c r="G1" s="240"/>
      <c r="H1" s="240"/>
      <c r="I1" s="240"/>
      <c r="J1" s="240"/>
    </row>
    <row r="2" spans="1:18" ht="13.5" thickBot="1" x14ac:dyDescent="0.25">
      <c r="A2" s="236" t="s">
        <v>120</v>
      </c>
      <c r="B2" s="236"/>
      <c r="C2" s="236"/>
      <c r="D2" s="236"/>
      <c r="E2" s="236"/>
      <c r="F2" s="236"/>
      <c r="G2" s="241" t="s">
        <v>263</v>
      </c>
      <c r="H2" s="241"/>
      <c r="I2" s="241"/>
      <c r="J2" s="241"/>
    </row>
    <row r="3" spans="1:18" ht="13.5" thickBot="1" x14ac:dyDescent="0.25">
      <c r="A3" s="236" t="s">
        <v>265</v>
      </c>
      <c r="B3" s="236"/>
      <c r="C3" s="236"/>
      <c r="D3" s="236"/>
      <c r="E3" s="236"/>
      <c r="F3" s="236"/>
      <c r="G3" s="241" t="s">
        <v>78</v>
      </c>
      <c r="H3" s="241"/>
      <c r="I3" s="241"/>
      <c r="J3" s="241"/>
    </row>
    <row r="4" spans="1:18" ht="13.5" thickBot="1" x14ac:dyDescent="0.25">
      <c r="A4" s="236" t="s">
        <v>121</v>
      </c>
      <c r="B4" s="236"/>
      <c r="C4" s="236"/>
      <c r="D4" s="236"/>
      <c r="E4" s="236"/>
      <c r="F4" s="236"/>
      <c r="G4" s="237" t="s">
        <v>79</v>
      </c>
      <c r="H4" s="238"/>
      <c r="I4" s="237" t="s">
        <v>80</v>
      </c>
      <c r="J4" s="238"/>
      <c r="M4" s="213">
        <v>1.2474000000000001</v>
      </c>
    </row>
    <row r="5" spans="1:18" ht="13.5" thickBot="1" x14ac:dyDescent="0.25">
      <c r="A5" s="236" t="s">
        <v>262</v>
      </c>
      <c r="B5" s="236"/>
      <c r="C5" s="236"/>
      <c r="D5" s="236"/>
      <c r="E5" s="236"/>
      <c r="F5" s="236"/>
      <c r="G5" s="239" t="s">
        <v>173</v>
      </c>
      <c r="H5" s="239"/>
      <c r="I5" s="239"/>
      <c r="J5" s="239"/>
    </row>
    <row r="6" spans="1:18" ht="26.25" thickBot="1" x14ac:dyDescent="0.3">
      <c r="A6" s="235"/>
      <c r="B6" s="235"/>
      <c r="C6" s="235"/>
      <c r="D6" s="235"/>
      <c r="E6" s="235"/>
      <c r="F6" s="235"/>
      <c r="G6" s="46" t="s">
        <v>81</v>
      </c>
      <c r="H6" s="47">
        <f>H8</f>
        <v>899552.79277583398</v>
      </c>
      <c r="I6" s="46" t="s">
        <v>82</v>
      </c>
      <c r="J6" s="47">
        <f>J8</f>
        <v>1123722.8519000001</v>
      </c>
      <c r="N6" s="222"/>
      <c r="R6" s="77"/>
    </row>
    <row r="7" spans="1:18" ht="16.5" thickBot="1" x14ac:dyDescent="0.25">
      <c r="A7" s="242" t="s">
        <v>189</v>
      </c>
      <c r="B7" s="242"/>
      <c r="C7" s="242"/>
      <c r="D7" s="242"/>
      <c r="E7" s="242"/>
      <c r="F7" s="242"/>
      <c r="G7" s="242"/>
      <c r="H7" s="242"/>
      <c r="I7" s="242"/>
      <c r="J7" s="242"/>
    </row>
    <row r="8" spans="1:18" ht="26.25" thickBot="1" x14ac:dyDescent="0.25">
      <c r="A8" s="235"/>
      <c r="B8" s="235"/>
      <c r="C8" s="235"/>
      <c r="D8" s="235"/>
      <c r="E8" s="235"/>
      <c r="F8" s="235"/>
      <c r="G8" s="172" t="s">
        <v>83</v>
      </c>
      <c r="H8" s="173">
        <f>SUM(I11,I13,I15,I22,I25,I35,I43,I47)</f>
        <v>899552.79277583398</v>
      </c>
      <c r="I8" s="172" t="s">
        <v>84</v>
      </c>
      <c r="J8" s="173">
        <f>SUM(J11,J13,J15,J22,J25,J35,J43,J47)</f>
        <v>1123722.8519000001</v>
      </c>
      <c r="L8" s="45" t="s">
        <v>302</v>
      </c>
    </row>
    <row r="9" spans="1:18" ht="12" customHeight="1" thickBot="1" x14ac:dyDescent="0.25">
      <c r="A9" s="243"/>
      <c r="B9" s="243"/>
      <c r="C9" s="243"/>
      <c r="D9" s="243"/>
      <c r="E9" s="243"/>
      <c r="F9" s="243"/>
      <c r="G9" s="243"/>
      <c r="H9" s="243"/>
      <c r="I9" s="243"/>
      <c r="J9" s="243"/>
      <c r="N9" s="90"/>
    </row>
    <row r="10" spans="1:18" ht="26.25" thickBot="1" x14ac:dyDescent="0.3">
      <c r="A10" s="174" t="s">
        <v>85</v>
      </c>
      <c r="B10" s="175" t="s">
        <v>86</v>
      </c>
      <c r="C10" s="174" t="s">
        <v>87</v>
      </c>
      <c r="D10" s="175" t="s">
        <v>88</v>
      </c>
      <c r="E10" s="176" t="s">
        <v>89</v>
      </c>
      <c r="F10" s="174" t="s">
        <v>90</v>
      </c>
      <c r="G10" s="172" t="s">
        <v>91</v>
      </c>
      <c r="H10" s="172" t="s">
        <v>92</v>
      </c>
      <c r="I10" s="172" t="s">
        <v>83</v>
      </c>
      <c r="J10" s="172" t="s">
        <v>84</v>
      </c>
      <c r="N10" s="90"/>
      <c r="Q10" s="45" t="s">
        <v>285</v>
      </c>
      <c r="R10" s="77"/>
    </row>
    <row r="11" spans="1:18" ht="13.5" hidden="1" thickBot="1" x14ac:dyDescent="0.25">
      <c r="A11" s="48" t="s">
        <v>93</v>
      </c>
      <c r="B11" s="49"/>
      <c r="C11" s="48"/>
      <c r="D11" s="50"/>
      <c r="E11" s="244" t="s">
        <v>3</v>
      </c>
      <c r="F11" s="245"/>
      <c r="G11" s="245"/>
      <c r="H11" s="246"/>
      <c r="I11" s="47">
        <f>I12</f>
        <v>0</v>
      </c>
      <c r="J11" s="47">
        <f>J12</f>
        <v>0</v>
      </c>
    </row>
    <row r="12" spans="1:18" ht="13.5" hidden="1" thickBot="1" x14ac:dyDescent="0.25">
      <c r="A12" s="51"/>
      <c r="B12" s="41"/>
      <c r="C12" s="41"/>
      <c r="D12" s="52"/>
      <c r="E12" s="41"/>
      <c r="F12" s="43"/>
      <c r="G12" s="53"/>
      <c r="H12" s="53">
        <f>G12*$M$4</f>
        <v>0</v>
      </c>
      <c r="I12" s="53">
        <f>G12*F12</f>
        <v>0</v>
      </c>
      <c r="J12" s="53">
        <f>H12*F12</f>
        <v>0</v>
      </c>
    </row>
    <row r="13" spans="1:18" s="77" customFormat="1" ht="14.25" customHeight="1" thickBot="1" x14ac:dyDescent="0.3">
      <c r="A13" s="177" t="s">
        <v>93</v>
      </c>
      <c r="B13" s="178"/>
      <c r="C13" s="177"/>
      <c r="D13" s="181" t="s">
        <v>97</v>
      </c>
      <c r="E13" s="247" t="s">
        <v>3</v>
      </c>
      <c r="F13" s="247"/>
      <c r="G13" s="247"/>
      <c r="H13" s="247"/>
      <c r="I13" s="180">
        <f>SUM(I14:I14)</f>
        <v>68357.369680000003</v>
      </c>
      <c r="J13" s="180">
        <f>SUM(J14:J14)</f>
        <v>85268.96</v>
      </c>
      <c r="R13" s="45"/>
    </row>
    <row r="14" spans="1:18" ht="15.75" thickBot="1" x14ac:dyDescent="0.3">
      <c r="A14" s="51" t="s">
        <v>266</v>
      </c>
      <c r="B14" s="41" t="s">
        <v>118</v>
      </c>
      <c r="C14" s="41" t="s">
        <v>178</v>
      </c>
      <c r="D14" s="52" t="s">
        <v>185</v>
      </c>
      <c r="E14" s="56" t="s">
        <v>187</v>
      </c>
      <c r="F14" s="43">
        <v>4</v>
      </c>
      <c r="G14" s="44">
        <f>COMPOSIÇÃO!I14</f>
        <v>17089.342420000001</v>
      </c>
      <c r="H14" s="53">
        <v>21317.24</v>
      </c>
      <c r="I14" s="53">
        <f>G14*F14</f>
        <v>68357.369680000003</v>
      </c>
      <c r="J14" s="53">
        <f>H14*F14</f>
        <v>85268.96</v>
      </c>
      <c r="N14" s="90"/>
      <c r="P14" s="90"/>
      <c r="R14" s="77"/>
    </row>
    <row r="15" spans="1:18" s="77" customFormat="1" ht="15.75" thickBot="1" x14ac:dyDescent="0.3">
      <c r="A15" s="177" t="s">
        <v>96</v>
      </c>
      <c r="B15" s="178"/>
      <c r="C15" s="177"/>
      <c r="D15" s="181" t="s">
        <v>176</v>
      </c>
      <c r="E15" s="247" t="s">
        <v>3</v>
      </c>
      <c r="F15" s="247"/>
      <c r="G15" s="247"/>
      <c r="H15" s="247"/>
      <c r="I15" s="180">
        <f>SUM(I16:I21)</f>
        <v>12017.5664</v>
      </c>
      <c r="J15" s="180">
        <f>SUM(J16:J21)</f>
        <v>14990.6369</v>
      </c>
      <c r="R15" s="45"/>
    </row>
    <row r="16" spans="1:18" ht="13.5" thickBot="1" x14ac:dyDescent="0.25">
      <c r="A16" s="54" t="s">
        <v>98</v>
      </c>
      <c r="B16" s="41" t="s">
        <v>182</v>
      </c>
      <c r="C16" s="41">
        <v>4915744</v>
      </c>
      <c r="D16" s="52" t="s">
        <v>224</v>
      </c>
      <c r="E16" s="41" t="s">
        <v>95</v>
      </c>
      <c r="F16" s="43">
        <v>51</v>
      </c>
      <c r="G16" s="44">
        <v>0.73</v>
      </c>
      <c r="H16" s="55">
        <v>0.91</v>
      </c>
      <c r="I16" s="55">
        <f>G16*F16</f>
        <v>37.229999999999997</v>
      </c>
      <c r="J16" s="55">
        <f>H16*F16</f>
        <v>46.410000000000004</v>
      </c>
    </row>
    <row r="17" spans="1:15" ht="13.5" thickBot="1" x14ac:dyDescent="0.25">
      <c r="A17" s="54" t="s">
        <v>267</v>
      </c>
      <c r="B17" s="41" t="s">
        <v>182</v>
      </c>
      <c r="C17" s="41">
        <v>5501702</v>
      </c>
      <c r="D17" s="52" t="s">
        <v>241</v>
      </c>
      <c r="E17" s="41" t="s">
        <v>89</v>
      </c>
      <c r="F17" s="43">
        <v>18</v>
      </c>
      <c r="G17" s="44">
        <v>97.5</v>
      </c>
      <c r="H17" s="55">
        <v>121.62</v>
      </c>
      <c r="I17" s="55">
        <f t="shared" ref="I17:I20" si="0">G17*F17</f>
        <v>1755</v>
      </c>
      <c r="J17" s="55">
        <f t="shared" ref="J17:J20" si="1">H17*F17</f>
        <v>2189.16</v>
      </c>
    </row>
    <row r="18" spans="1:15" ht="29.25" customHeight="1" thickBot="1" x14ac:dyDescent="0.25">
      <c r="A18" s="54" t="s">
        <v>268</v>
      </c>
      <c r="B18" s="41" t="s">
        <v>99</v>
      </c>
      <c r="C18" s="131">
        <v>10779</v>
      </c>
      <c r="D18" s="52" t="s">
        <v>225</v>
      </c>
      <c r="E18" s="56" t="s">
        <v>187</v>
      </c>
      <c r="F18" s="61">
        <v>4</v>
      </c>
      <c r="G18" s="58">
        <v>1218.75</v>
      </c>
      <c r="H18" s="55">
        <f t="shared" ref="H18" si="2">G18*$M$4</f>
        <v>1520.2687500000002</v>
      </c>
      <c r="I18" s="55">
        <f t="shared" si="0"/>
        <v>4875</v>
      </c>
      <c r="J18" s="55">
        <f t="shared" si="1"/>
        <v>6081.0750000000007</v>
      </c>
      <c r="N18" s="90"/>
    </row>
    <row r="19" spans="1:15" ht="26.25" thickBot="1" x14ac:dyDescent="0.25">
      <c r="A19" s="54" t="s">
        <v>269</v>
      </c>
      <c r="B19" s="41" t="s">
        <v>118</v>
      </c>
      <c r="C19" s="41" t="s">
        <v>209</v>
      </c>
      <c r="D19" s="52" t="s">
        <v>188</v>
      </c>
      <c r="E19" s="41" t="s">
        <v>102</v>
      </c>
      <c r="F19" s="43">
        <v>2</v>
      </c>
      <c r="G19" s="44">
        <f>COMPOSIÇÃO!I39</f>
        <v>1537.8832</v>
      </c>
      <c r="H19" s="55">
        <v>1918.35</v>
      </c>
      <c r="I19" s="55">
        <f t="shared" si="0"/>
        <v>3075.7664</v>
      </c>
      <c r="J19" s="55">
        <f t="shared" si="1"/>
        <v>3836.7</v>
      </c>
      <c r="M19" s="90"/>
    </row>
    <row r="20" spans="1:15" ht="26.25" thickBot="1" x14ac:dyDescent="0.25">
      <c r="A20" s="54" t="s">
        <v>270</v>
      </c>
      <c r="B20" s="41" t="s">
        <v>99</v>
      </c>
      <c r="C20" s="41">
        <v>4813</v>
      </c>
      <c r="D20" s="42" t="s">
        <v>186</v>
      </c>
      <c r="E20" s="41" t="s">
        <v>95</v>
      </c>
      <c r="F20" s="43">
        <v>2.88</v>
      </c>
      <c r="G20" s="44">
        <v>439.5</v>
      </c>
      <c r="H20" s="55">
        <v>548.23</v>
      </c>
      <c r="I20" s="55">
        <f t="shared" si="0"/>
        <v>1265.76</v>
      </c>
      <c r="J20" s="55">
        <f t="shared" si="1"/>
        <v>1578.9023999999999</v>
      </c>
    </row>
    <row r="21" spans="1:15" ht="26.25" thickBot="1" x14ac:dyDescent="0.25">
      <c r="A21" s="54" t="s">
        <v>271</v>
      </c>
      <c r="B21" s="51" t="s">
        <v>182</v>
      </c>
      <c r="C21" s="70">
        <v>5213467</v>
      </c>
      <c r="D21" s="195" t="s">
        <v>246</v>
      </c>
      <c r="E21" s="41" t="s">
        <v>89</v>
      </c>
      <c r="F21" s="43">
        <v>1</v>
      </c>
      <c r="G21" s="55">
        <v>1008.81</v>
      </c>
      <c r="H21" s="55">
        <v>1258.3895</v>
      </c>
      <c r="I21" s="53">
        <f>G21*F21</f>
        <v>1008.81</v>
      </c>
      <c r="J21" s="53">
        <f>H21*F21</f>
        <v>1258.3895</v>
      </c>
    </row>
    <row r="22" spans="1:15" s="77" customFormat="1" ht="15.75" thickBot="1" x14ac:dyDescent="0.3">
      <c r="A22" s="177" t="s">
        <v>100</v>
      </c>
      <c r="B22" s="178"/>
      <c r="C22" s="177"/>
      <c r="D22" s="179" t="s">
        <v>283</v>
      </c>
      <c r="E22" s="247" t="s">
        <v>3</v>
      </c>
      <c r="F22" s="247"/>
      <c r="G22" s="247"/>
      <c r="H22" s="247"/>
      <c r="I22" s="180">
        <f>SUM(I23:I24)</f>
        <v>31730.6</v>
      </c>
      <c r="J22" s="180">
        <f>SUM(J23:J24)</f>
        <v>39581.440000000002</v>
      </c>
      <c r="O22" s="45"/>
    </row>
    <row r="23" spans="1:15" ht="64.5" thickBot="1" x14ac:dyDescent="0.25">
      <c r="A23" s="51" t="s">
        <v>101</v>
      </c>
      <c r="B23" s="41" t="s">
        <v>99</v>
      </c>
      <c r="C23" s="41">
        <v>83765</v>
      </c>
      <c r="D23" s="52" t="s">
        <v>170</v>
      </c>
      <c r="E23" s="41" t="s">
        <v>108</v>
      </c>
      <c r="F23" s="43">
        <v>220</v>
      </c>
      <c r="G23" s="44">
        <v>104.47</v>
      </c>
      <c r="H23" s="55">
        <v>130.32</v>
      </c>
      <c r="I23" s="55">
        <f>G23*F23</f>
        <v>22983.4</v>
      </c>
      <c r="J23" s="55">
        <f>H23*F23</f>
        <v>28670.399999999998</v>
      </c>
      <c r="M23" s="90"/>
    </row>
    <row r="24" spans="1:15" ht="102.75" thickBot="1" x14ac:dyDescent="0.3">
      <c r="A24" s="51" t="s">
        <v>103</v>
      </c>
      <c r="B24" s="41" t="s">
        <v>99</v>
      </c>
      <c r="C24" s="41">
        <v>91467</v>
      </c>
      <c r="D24" s="52" t="s">
        <v>171</v>
      </c>
      <c r="E24" s="41" t="s">
        <v>104</v>
      </c>
      <c r="F24" s="43">
        <v>56</v>
      </c>
      <c r="G24" s="44">
        <v>156.19999999999999</v>
      </c>
      <c r="H24" s="55">
        <v>194.84</v>
      </c>
      <c r="I24" s="55">
        <f>G24*F24</f>
        <v>8747.1999999999989</v>
      </c>
      <c r="J24" s="55">
        <f>F24*H24</f>
        <v>10911.04</v>
      </c>
      <c r="O24" s="77"/>
    </row>
    <row r="25" spans="1:15" s="77" customFormat="1" ht="15.75" thickBot="1" x14ac:dyDescent="0.3">
      <c r="A25" s="177" t="s">
        <v>105</v>
      </c>
      <c r="B25" s="178"/>
      <c r="C25" s="177"/>
      <c r="D25" s="179" t="s">
        <v>110</v>
      </c>
      <c r="E25" s="247" t="s">
        <v>3</v>
      </c>
      <c r="F25" s="247"/>
      <c r="G25" s="247"/>
      <c r="H25" s="247"/>
      <c r="I25" s="180">
        <f>SUM(I26:I34)</f>
        <v>86982.471593313996</v>
      </c>
      <c r="J25" s="180">
        <v>108513.52</v>
      </c>
      <c r="O25" s="45"/>
    </row>
    <row r="26" spans="1:15" ht="26.25" thickBot="1" x14ac:dyDescent="0.3">
      <c r="A26" s="54" t="s">
        <v>107</v>
      </c>
      <c r="B26" s="41" t="s">
        <v>118</v>
      </c>
      <c r="C26" s="41" t="s">
        <v>247</v>
      </c>
      <c r="D26" s="52" t="s">
        <v>122</v>
      </c>
      <c r="E26" s="41" t="s">
        <v>102</v>
      </c>
      <c r="F26" s="43">
        <v>21</v>
      </c>
      <c r="G26" s="44">
        <f>COMPOSIÇÃO!I31</f>
        <v>60.906980633999993</v>
      </c>
      <c r="H26" s="55">
        <v>75.98</v>
      </c>
      <c r="I26" s="55">
        <f t="shared" ref="I26" si="3">G26*F26</f>
        <v>1279.0465933139999</v>
      </c>
      <c r="J26" s="55">
        <f t="shared" ref="J26" si="4">H26*F26</f>
        <v>1595.5800000000002</v>
      </c>
      <c r="O26" s="77"/>
    </row>
    <row r="27" spans="1:15" ht="13.5" thickBot="1" x14ac:dyDescent="0.25">
      <c r="A27" s="54" t="s">
        <v>166</v>
      </c>
      <c r="B27" s="41" t="s">
        <v>182</v>
      </c>
      <c r="C27" s="41">
        <v>5501706</v>
      </c>
      <c r="D27" s="52" t="s">
        <v>235</v>
      </c>
      <c r="E27" s="41" t="s">
        <v>111</v>
      </c>
      <c r="F27" s="43">
        <v>36.54</v>
      </c>
      <c r="G27" s="44">
        <v>6.55</v>
      </c>
      <c r="H27" s="55">
        <v>8.17</v>
      </c>
      <c r="I27" s="55">
        <f>G27*F27</f>
        <v>239.33699999999999</v>
      </c>
      <c r="J27" s="59">
        <f>H27*F27</f>
        <v>298.53179999999998</v>
      </c>
    </row>
    <row r="28" spans="1:15" ht="13.5" thickBot="1" x14ac:dyDescent="0.25">
      <c r="A28" s="54" t="s">
        <v>272</v>
      </c>
      <c r="B28" s="41" t="s">
        <v>182</v>
      </c>
      <c r="C28" s="41">
        <v>4815671</v>
      </c>
      <c r="D28" s="52" t="s">
        <v>236</v>
      </c>
      <c r="E28" s="41" t="s">
        <v>95</v>
      </c>
      <c r="F28" s="43">
        <v>19.350000000000001</v>
      </c>
      <c r="G28" s="44">
        <v>16.690000000000001</v>
      </c>
      <c r="H28" s="55">
        <v>20.82</v>
      </c>
      <c r="I28" s="55">
        <f t="shared" ref="I28:I34" si="5">G28*F28</f>
        <v>322.95150000000007</v>
      </c>
      <c r="J28" s="59">
        <f t="shared" ref="J28:J34" si="6">H28*F28</f>
        <v>402.86700000000002</v>
      </c>
    </row>
    <row r="29" spans="1:15" ht="39" thickBot="1" x14ac:dyDescent="0.25">
      <c r="A29" s="54" t="s">
        <v>273</v>
      </c>
      <c r="B29" s="41" t="s">
        <v>99</v>
      </c>
      <c r="C29" s="131">
        <v>100897</v>
      </c>
      <c r="D29" s="52" t="s">
        <v>238</v>
      </c>
      <c r="E29" s="125" t="s">
        <v>123</v>
      </c>
      <c r="F29" s="43">
        <v>32</v>
      </c>
      <c r="G29" s="44">
        <v>128.05000000000001</v>
      </c>
      <c r="H29" s="55">
        <v>159.72999999999999</v>
      </c>
      <c r="I29" s="55">
        <f t="shared" si="5"/>
        <v>4097.6000000000004</v>
      </c>
      <c r="J29" s="59">
        <f t="shared" si="6"/>
        <v>5111.3599999999997</v>
      </c>
    </row>
    <row r="30" spans="1:15" ht="39" thickBot="1" x14ac:dyDescent="0.25">
      <c r="A30" s="54" t="s">
        <v>274</v>
      </c>
      <c r="B30" s="41" t="s">
        <v>99</v>
      </c>
      <c r="C30" s="131">
        <v>100896</v>
      </c>
      <c r="D30" s="52" t="s">
        <v>237</v>
      </c>
      <c r="E30" s="41" t="s">
        <v>123</v>
      </c>
      <c r="F30" s="43">
        <v>24</v>
      </c>
      <c r="G30" s="44">
        <v>64.59</v>
      </c>
      <c r="H30" s="55">
        <v>80.569999999999993</v>
      </c>
      <c r="I30" s="55">
        <f t="shared" si="5"/>
        <v>1550.16</v>
      </c>
      <c r="J30" s="59">
        <f t="shared" si="6"/>
        <v>1933.6799999999998</v>
      </c>
    </row>
    <row r="31" spans="1:15" ht="13.5" thickBot="1" x14ac:dyDescent="0.25">
      <c r="A31" s="54" t="s">
        <v>275</v>
      </c>
      <c r="B31" s="41" t="s">
        <v>182</v>
      </c>
      <c r="C31" s="41">
        <v>407819</v>
      </c>
      <c r="D31" s="52" t="s">
        <v>124</v>
      </c>
      <c r="E31" s="41" t="s">
        <v>114</v>
      </c>
      <c r="F31" s="43">
        <v>3656.89</v>
      </c>
      <c r="G31" s="44">
        <v>12.76</v>
      </c>
      <c r="H31" s="55">
        <v>15.92</v>
      </c>
      <c r="I31" s="55">
        <f t="shared" si="5"/>
        <v>46661.916399999995</v>
      </c>
      <c r="J31" s="59">
        <f t="shared" si="6"/>
        <v>58217.688799999996</v>
      </c>
    </row>
    <row r="32" spans="1:15" ht="26.25" thickBot="1" x14ac:dyDescent="0.25">
      <c r="A32" s="54" t="s">
        <v>276</v>
      </c>
      <c r="B32" s="41" t="s">
        <v>182</v>
      </c>
      <c r="C32" s="41">
        <v>3108005</v>
      </c>
      <c r="D32" s="52" t="s">
        <v>239</v>
      </c>
      <c r="E32" s="41" t="s">
        <v>95</v>
      </c>
      <c r="F32" s="43">
        <v>92.1</v>
      </c>
      <c r="G32" s="44">
        <v>80.290000000000006</v>
      </c>
      <c r="H32" s="55">
        <v>100.15</v>
      </c>
      <c r="I32" s="55">
        <f t="shared" si="5"/>
        <v>7394.7089999999998</v>
      </c>
      <c r="J32" s="59">
        <f t="shared" si="6"/>
        <v>9223.8150000000005</v>
      </c>
    </row>
    <row r="33" spans="1:14" ht="39" thickBot="1" x14ac:dyDescent="0.25">
      <c r="A33" s="54" t="s">
        <v>277</v>
      </c>
      <c r="B33" s="66" t="s">
        <v>99</v>
      </c>
      <c r="C33" s="125" t="s">
        <v>300</v>
      </c>
      <c r="D33" s="52" t="s">
        <v>301</v>
      </c>
      <c r="E33" s="41" t="s">
        <v>111</v>
      </c>
      <c r="F33" s="43">
        <v>37.630000000000003</v>
      </c>
      <c r="G33" s="44">
        <v>631.47</v>
      </c>
      <c r="H33" s="55">
        <v>787.7</v>
      </c>
      <c r="I33" s="55">
        <f t="shared" si="5"/>
        <v>23762.216100000001</v>
      </c>
      <c r="J33" s="59">
        <f t="shared" si="6"/>
        <v>29641.151000000005</v>
      </c>
    </row>
    <row r="34" spans="1:14" ht="26.25" thickBot="1" x14ac:dyDescent="0.25">
      <c r="A34" s="54" t="s">
        <v>278</v>
      </c>
      <c r="B34" s="41" t="s">
        <v>99</v>
      </c>
      <c r="C34" s="41">
        <v>103673</v>
      </c>
      <c r="D34" s="52" t="s">
        <v>303</v>
      </c>
      <c r="E34" s="41" t="s">
        <v>111</v>
      </c>
      <c r="F34" s="43">
        <v>37.630000000000003</v>
      </c>
      <c r="G34" s="44">
        <v>44.5</v>
      </c>
      <c r="H34" s="55">
        <v>55.51</v>
      </c>
      <c r="I34" s="55">
        <f t="shared" si="5"/>
        <v>1674.5350000000001</v>
      </c>
      <c r="J34" s="59">
        <f t="shared" si="6"/>
        <v>2088.8413</v>
      </c>
    </row>
    <row r="35" spans="1:14" s="77" customFormat="1" ht="15.75" thickBot="1" x14ac:dyDescent="0.3">
      <c r="A35" s="177" t="s">
        <v>109</v>
      </c>
      <c r="B35" s="178"/>
      <c r="C35" s="177"/>
      <c r="D35" s="182" t="s">
        <v>116</v>
      </c>
      <c r="E35" s="247" t="s">
        <v>3</v>
      </c>
      <c r="F35" s="247"/>
      <c r="G35" s="247"/>
      <c r="H35" s="247"/>
      <c r="I35" s="180">
        <f>SUM(I36:I41)</f>
        <v>567837.92700000003</v>
      </c>
      <c r="J35" s="180">
        <v>709924.85</v>
      </c>
    </row>
    <row r="36" spans="1:14" s="73" customFormat="1" ht="16.5" customHeight="1" thickBot="1" x14ac:dyDescent="0.25">
      <c r="A36" s="56" t="s">
        <v>167</v>
      </c>
      <c r="B36" s="41" t="s">
        <v>182</v>
      </c>
      <c r="C36" s="56">
        <v>1600990</v>
      </c>
      <c r="D36" s="60" t="s">
        <v>240</v>
      </c>
      <c r="E36" s="56" t="s">
        <v>95</v>
      </c>
      <c r="F36" s="61">
        <v>94.5</v>
      </c>
      <c r="G36" s="132">
        <v>752.44</v>
      </c>
      <c r="H36" s="62">
        <v>938.59</v>
      </c>
      <c r="I36" s="62">
        <f>G36*F36</f>
        <v>71105.58</v>
      </c>
      <c r="J36" s="62">
        <f>H36*F36</f>
        <v>88696.755000000005</v>
      </c>
    </row>
    <row r="37" spans="1:14" ht="26.25" thickBot="1" x14ac:dyDescent="0.25">
      <c r="A37" s="56" t="s">
        <v>279</v>
      </c>
      <c r="B37" s="168" t="s">
        <v>182</v>
      </c>
      <c r="C37" s="168">
        <v>2408149</v>
      </c>
      <c r="D37" s="169" t="s">
        <v>250</v>
      </c>
      <c r="E37" s="168" t="s">
        <v>114</v>
      </c>
      <c r="F37" s="170">
        <v>25888.23</v>
      </c>
      <c r="G37" s="171">
        <v>16.690000000000001</v>
      </c>
      <c r="H37" s="62">
        <v>20.82</v>
      </c>
      <c r="I37" s="58">
        <f>G37*F37</f>
        <v>432074.55870000005</v>
      </c>
      <c r="J37" s="58">
        <f>H37*F37</f>
        <v>538992.9486</v>
      </c>
    </row>
    <row r="38" spans="1:14" ht="26.25" thickBot="1" x14ac:dyDescent="0.25">
      <c r="A38" s="56" t="s">
        <v>280</v>
      </c>
      <c r="B38" s="66" t="s">
        <v>99</v>
      </c>
      <c r="C38" s="41">
        <v>43125</v>
      </c>
      <c r="D38" s="52" t="s">
        <v>125</v>
      </c>
      <c r="E38" s="51" t="s">
        <v>95</v>
      </c>
      <c r="F38" s="67">
        <v>94.5</v>
      </c>
      <c r="G38" s="55">
        <v>130.28</v>
      </c>
      <c r="H38" s="62">
        <v>162.51</v>
      </c>
      <c r="I38" s="55">
        <f t="shared" ref="I38:I42" si="7">G38*F38</f>
        <v>12311.460000000001</v>
      </c>
      <c r="J38" s="55">
        <f t="shared" ref="J38:J41" si="8">H38*F38</f>
        <v>15357.195</v>
      </c>
      <c r="L38" s="90"/>
      <c r="N38" s="90"/>
    </row>
    <row r="39" spans="1:14" ht="39" thickBot="1" x14ac:dyDescent="0.25">
      <c r="A39" s="56" t="s">
        <v>112</v>
      </c>
      <c r="B39" s="66" t="s">
        <v>118</v>
      </c>
      <c r="C39" s="51" t="s">
        <v>249</v>
      </c>
      <c r="D39" s="52" t="s">
        <v>169</v>
      </c>
      <c r="E39" s="41" t="s">
        <v>21</v>
      </c>
      <c r="F39" s="43">
        <v>94.5</v>
      </c>
      <c r="G39" s="44">
        <f>COMPOSIÇÃO!I21</f>
        <v>58.248400000000004</v>
      </c>
      <c r="H39" s="62">
        <v>72.66</v>
      </c>
      <c r="I39" s="55">
        <f t="shared" si="7"/>
        <v>5504.4738000000007</v>
      </c>
      <c r="J39" s="55">
        <f t="shared" si="8"/>
        <v>6866.37</v>
      </c>
    </row>
    <row r="40" spans="1:14" ht="13.5" thickBot="1" x14ac:dyDescent="0.25">
      <c r="A40" s="56" t="s">
        <v>113</v>
      </c>
      <c r="B40" s="41" t="s">
        <v>182</v>
      </c>
      <c r="C40" s="41">
        <v>407819</v>
      </c>
      <c r="D40" s="52" t="s">
        <v>124</v>
      </c>
      <c r="E40" s="41" t="s">
        <v>114</v>
      </c>
      <c r="F40" s="43">
        <v>2268</v>
      </c>
      <c r="G40" s="44">
        <v>12.76</v>
      </c>
      <c r="H40" s="62">
        <v>15.92</v>
      </c>
      <c r="I40" s="55">
        <f t="shared" si="7"/>
        <v>28939.68</v>
      </c>
      <c r="J40" s="59">
        <f t="shared" si="8"/>
        <v>36106.559999999998</v>
      </c>
    </row>
    <row r="41" spans="1:14" ht="39" thickBot="1" x14ac:dyDescent="0.25">
      <c r="A41" s="56" t="s">
        <v>168</v>
      </c>
      <c r="B41" s="66" t="s">
        <v>99</v>
      </c>
      <c r="C41" s="125" t="s">
        <v>300</v>
      </c>
      <c r="D41" s="52" t="s">
        <v>301</v>
      </c>
      <c r="E41" s="41" t="s">
        <v>111</v>
      </c>
      <c r="F41" s="41">
        <v>28.35</v>
      </c>
      <c r="G41" s="44">
        <v>631.47</v>
      </c>
      <c r="H41" s="62">
        <v>787.7</v>
      </c>
      <c r="I41" s="55">
        <f t="shared" si="7"/>
        <v>17902.174500000001</v>
      </c>
      <c r="J41" s="59">
        <f t="shared" si="8"/>
        <v>22331.295000000002</v>
      </c>
    </row>
    <row r="42" spans="1:14" ht="26.25" thickBot="1" x14ac:dyDescent="0.25">
      <c r="A42" s="56" t="s">
        <v>311</v>
      </c>
      <c r="B42" s="41" t="s">
        <v>99</v>
      </c>
      <c r="C42" s="41">
        <v>103673</v>
      </c>
      <c r="D42" s="52" t="s">
        <v>303</v>
      </c>
      <c r="E42" s="41" t="s">
        <v>111</v>
      </c>
      <c r="F42" s="41">
        <v>28.35</v>
      </c>
      <c r="G42" s="44">
        <v>44.5</v>
      </c>
      <c r="H42" s="62">
        <v>55.51</v>
      </c>
      <c r="I42" s="55">
        <f t="shared" si="7"/>
        <v>1261.575</v>
      </c>
      <c r="J42" s="59">
        <f>F42*H42</f>
        <v>1573.7085</v>
      </c>
    </row>
    <row r="43" spans="1:14" s="77" customFormat="1" ht="15.75" thickBot="1" x14ac:dyDescent="0.3">
      <c r="A43" s="177" t="s">
        <v>115</v>
      </c>
      <c r="B43" s="178"/>
      <c r="C43" s="177"/>
      <c r="D43" s="182" t="s">
        <v>282</v>
      </c>
      <c r="E43" s="247" t="s">
        <v>3</v>
      </c>
      <c r="F43" s="247"/>
      <c r="G43" s="247"/>
      <c r="H43" s="247"/>
      <c r="I43" s="180">
        <f>SUM(I44:I46)</f>
        <v>128521.96875652001</v>
      </c>
      <c r="J43" s="180">
        <f>SUM(J44:J46)</f>
        <v>160323.005</v>
      </c>
    </row>
    <row r="44" spans="1:14" ht="39" thickBot="1" x14ac:dyDescent="0.25">
      <c r="A44" s="51" t="s">
        <v>117</v>
      </c>
      <c r="B44" s="51" t="s">
        <v>182</v>
      </c>
      <c r="C44" s="70">
        <v>5213373</v>
      </c>
      <c r="D44" s="69" t="s">
        <v>242</v>
      </c>
      <c r="E44" s="70" t="s">
        <v>89</v>
      </c>
      <c r="F44" s="71">
        <v>2</v>
      </c>
      <c r="G44" s="72">
        <v>2914.9</v>
      </c>
      <c r="H44" s="55">
        <v>3636.05</v>
      </c>
      <c r="I44" s="55">
        <f t="shared" ref="I44:I46" si="9">G44*F44</f>
        <v>5829.8</v>
      </c>
      <c r="J44" s="55">
        <f t="shared" ref="J44:J46" si="10">H44*F44</f>
        <v>7272.1</v>
      </c>
    </row>
    <row r="45" spans="1:14" ht="39" thickBot="1" x14ac:dyDescent="0.25">
      <c r="A45" s="51" t="s">
        <v>208</v>
      </c>
      <c r="B45" s="51" t="s">
        <v>182</v>
      </c>
      <c r="C45" s="70">
        <v>5213373</v>
      </c>
      <c r="D45" s="69" t="s">
        <v>243</v>
      </c>
      <c r="E45" s="70" t="s">
        <v>89</v>
      </c>
      <c r="F45" s="71">
        <v>2</v>
      </c>
      <c r="G45" s="44">
        <v>2914.9</v>
      </c>
      <c r="H45" s="55">
        <v>3636.05</v>
      </c>
      <c r="I45" s="55">
        <f t="shared" si="9"/>
        <v>5829.8</v>
      </c>
      <c r="J45" s="55">
        <f t="shared" si="10"/>
        <v>7272.1</v>
      </c>
    </row>
    <row r="46" spans="1:14" ht="51.75" thickBot="1" x14ac:dyDescent="0.25">
      <c r="A46" s="51" t="s">
        <v>119</v>
      </c>
      <c r="B46" s="41" t="s">
        <v>118</v>
      </c>
      <c r="C46" s="63" t="s">
        <v>244</v>
      </c>
      <c r="D46" s="64" t="s">
        <v>261</v>
      </c>
      <c r="E46" s="63" t="s">
        <v>114</v>
      </c>
      <c r="F46" s="65">
        <v>2911.5</v>
      </c>
      <c r="G46" s="59">
        <f>COMPOSIÇÃO!I51</f>
        <v>40.138199813333337</v>
      </c>
      <c r="H46" s="55">
        <v>50.07</v>
      </c>
      <c r="I46" s="55">
        <f t="shared" si="9"/>
        <v>116862.36875652001</v>
      </c>
      <c r="J46" s="55">
        <f t="shared" si="10"/>
        <v>145778.80499999999</v>
      </c>
    </row>
    <row r="47" spans="1:14" ht="15.75" customHeight="1" thickBot="1" x14ac:dyDescent="0.25">
      <c r="A47" s="177" t="s">
        <v>297</v>
      </c>
      <c r="B47" s="211"/>
      <c r="C47" s="211"/>
      <c r="D47" s="182" t="s">
        <v>295</v>
      </c>
      <c r="E47" s="256" t="s">
        <v>3</v>
      </c>
      <c r="F47" s="257"/>
      <c r="G47" s="257"/>
      <c r="H47" s="258"/>
      <c r="I47" s="180">
        <f>I48</f>
        <v>4104.8893459999999</v>
      </c>
      <c r="J47" s="180">
        <f>J48</f>
        <v>5120.4399999999996</v>
      </c>
    </row>
    <row r="48" spans="1:14" ht="13.5" thickBot="1" x14ac:dyDescent="0.25">
      <c r="A48" s="223" t="s">
        <v>298</v>
      </c>
      <c r="B48" s="224" t="s">
        <v>118</v>
      </c>
      <c r="C48" s="225" t="s">
        <v>299</v>
      </c>
      <c r="D48" s="226" t="s">
        <v>295</v>
      </c>
      <c r="E48" s="225" t="s">
        <v>89</v>
      </c>
      <c r="F48" s="227">
        <v>1</v>
      </c>
      <c r="G48" s="228">
        <f>COMPOSIÇÃO!I86</f>
        <v>4104.8893459999999</v>
      </c>
      <c r="H48" s="229">
        <v>5120.4399999999996</v>
      </c>
      <c r="I48" s="228">
        <f>G48*F48</f>
        <v>4104.8893459999999</v>
      </c>
      <c r="J48" s="229">
        <f>H48*F48</f>
        <v>5120.4399999999996</v>
      </c>
    </row>
    <row r="49" spans="1:13" x14ac:dyDescent="0.2">
      <c r="A49" s="249"/>
      <c r="B49" s="250"/>
      <c r="C49" s="250"/>
      <c r="D49" s="250"/>
      <c r="E49" s="250"/>
      <c r="F49" s="250"/>
      <c r="G49" s="230"/>
      <c r="H49" s="231"/>
      <c r="I49" s="230"/>
      <c r="J49" s="232"/>
    </row>
    <row r="50" spans="1:13" x14ac:dyDescent="0.2">
      <c r="A50" s="251"/>
      <c r="B50" s="252"/>
      <c r="C50" s="252"/>
      <c r="D50" s="252"/>
      <c r="E50" s="252"/>
      <c r="F50" s="252"/>
      <c r="G50" s="252"/>
      <c r="H50" s="252"/>
      <c r="I50" s="252"/>
      <c r="J50" s="253"/>
    </row>
    <row r="51" spans="1:13" x14ac:dyDescent="0.2">
      <c r="A51" s="217"/>
      <c r="B51" s="99"/>
      <c r="C51" s="218"/>
      <c r="D51" s="99"/>
      <c r="E51" s="100"/>
      <c r="F51" s="218"/>
      <c r="G51" s="96"/>
      <c r="H51" s="96"/>
      <c r="I51" s="96"/>
      <c r="J51" s="118"/>
    </row>
    <row r="52" spans="1:13" x14ac:dyDescent="0.2">
      <c r="A52" s="217"/>
      <c r="B52" s="99"/>
      <c r="C52" s="218"/>
      <c r="D52" s="101"/>
      <c r="E52" s="254"/>
      <c r="F52" s="254"/>
      <c r="G52" s="254"/>
      <c r="H52" s="254"/>
      <c r="I52" s="97"/>
      <c r="J52" s="117"/>
      <c r="M52" s="90"/>
    </row>
    <row r="53" spans="1:13" x14ac:dyDescent="0.2">
      <c r="A53" s="219"/>
      <c r="B53" s="102"/>
      <c r="C53" s="102"/>
      <c r="D53" s="103" t="s">
        <v>221</v>
      </c>
      <c r="E53" s="102"/>
      <c r="F53" s="104"/>
      <c r="G53" s="255"/>
      <c r="H53" s="255"/>
      <c r="I53" s="255"/>
      <c r="J53" s="119"/>
    </row>
    <row r="54" spans="1:13" x14ac:dyDescent="0.2">
      <c r="A54" s="217"/>
      <c r="B54" s="116"/>
      <c r="C54" s="218"/>
      <c r="D54" s="221" t="s">
        <v>284</v>
      </c>
      <c r="E54" s="101"/>
      <c r="F54" s="218"/>
      <c r="G54" s="248"/>
      <c r="H54" s="248"/>
      <c r="I54" s="248"/>
      <c r="J54" s="117"/>
    </row>
    <row r="55" spans="1:13" ht="13.5" thickBot="1" x14ac:dyDescent="0.25">
      <c r="A55" s="120"/>
      <c r="B55" s="121"/>
      <c r="C55" s="121"/>
      <c r="D55" s="122" t="s">
        <v>223</v>
      </c>
      <c r="E55" s="233"/>
      <c r="F55" s="121"/>
      <c r="G55" s="259"/>
      <c r="H55" s="259"/>
      <c r="I55" s="259"/>
      <c r="J55" s="234"/>
    </row>
    <row r="56" spans="1:13" x14ac:dyDescent="0.2">
      <c r="A56" s="218"/>
      <c r="B56" s="99"/>
      <c r="C56" s="218"/>
      <c r="D56" s="101" t="s">
        <v>285</v>
      </c>
      <c r="E56" s="254"/>
      <c r="F56" s="254"/>
      <c r="G56" s="254"/>
      <c r="H56" s="254"/>
      <c r="I56" s="97"/>
      <c r="J56" s="97"/>
    </row>
    <row r="57" spans="1:13" x14ac:dyDescent="0.2">
      <c r="A57" s="220"/>
      <c r="B57" s="102"/>
      <c r="C57" s="102"/>
      <c r="D57" s="103"/>
      <c r="E57" s="102"/>
      <c r="F57" s="102"/>
      <c r="G57" s="106"/>
      <c r="H57" s="93"/>
      <c r="I57" s="93"/>
      <c r="J57" s="93"/>
    </row>
    <row r="58" spans="1:13" x14ac:dyDescent="0.2">
      <c r="A58" s="91"/>
      <c r="B58" s="102"/>
      <c r="C58" s="102"/>
      <c r="D58" s="103"/>
      <c r="E58" s="102"/>
      <c r="F58" s="102"/>
      <c r="G58" s="106"/>
      <c r="H58" s="93"/>
      <c r="I58" s="93"/>
      <c r="J58" s="93"/>
    </row>
    <row r="59" spans="1:13" x14ac:dyDescent="0.2">
      <c r="A59" s="91"/>
      <c r="B59" s="102"/>
      <c r="C59" s="91"/>
      <c r="D59" s="92"/>
      <c r="E59" s="91"/>
      <c r="F59" s="123"/>
      <c r="G59" s="93"/>
      <c r="H59" s="93"/>
      <c r="I59" s="93"/>
      <c r="J59" s="93"/>
    </row>
    <row r="60" spans="1:13" x14ac:dyDescent="0.2">
      <c r="A60" s="91"/>
      <c r="B60" s="102"/>
      <c r="C60" s="102"/>
      <c r="D60" s="103"/>
      <c r="E60" s="102"/>
      <c r="F60" s="102"/>
      <c r="G60" s="106"/>
      <c r="H60" s="93"/>
      <c r="I60" s="93"/>
      <c r="J60" s="93"/>
    </row>
    <row r="61" spans="1:13" x14ac:dyDescent="0.2">
      <c r="A61" s="91"/>
      <c r="B61" s="102"/>
      <c r="C61" s="102"/>
      <c r="D61" s="103"/>
      <c r="E61" s="102"/>
      <c r="F61" s="104"/>
      <c r="G61" s="106"/>
      <c r="H61" s="93"/>
      <c r="I61" s="93"/>
      <c r="J61" s="93"/>
    </row>
    <row r="62" spans="1:13" x14ac:dyDescent="0.2">
      <c r="A62" s="91"/>
      <c r="B62" s="102"/>
      <c r="C62" s="102"/>
      <c r="D62" s="103"/>
      <c r="E62" s="102"/>
      <c r="F62" s="102"/>
      <c r="G62" s="93"/>
      <c r="H62" s="105"/>
      <c r="I62" s="105"/>
      <c r="J62" s="105"/>
    </row>
    <row r="63" spans="1:13" x14ac:dyDescent="0.2">
      <c r="A63" s="98"/>
      <c r="B63" s="99"/>
      <c r="C63" s="98"/>
      <c r="D63" s="107"/>
      <c r="E63" s="254"/>
      <c r="F63" s="254"/>
      <c r="G63" s="254"/>
      <c r="H63" s="254"/>
      <c r="I63" s="97"/>
      <c r="J63" s="97"/>
    </row>
    <row r="64" spans="1:13" x14ac:dyDescent="0.2">
      <c r="A64" s="91"/>
      <c r="B64" s="102"/>
      <c r="C64" s="102"/>
      <c r="D64" s="103"/>
      <c r="E64" s="102"/>
      <c r="F64" s="102"/>
      <c r="G64" s="106"/>
      <c r="H64" s="93"/>
      <c r="I64" s="93"/>
      <c r="J64" s="93"/>
    </row>
    <row r="65" spans="1:10" x14ac:dyDescent="0.2">
      <c r="A65" s="91"/>
      <c r="B65" s="102"/>
      <c r="C65" s="102"/>
      <c r="D65" s="103"/>
      <c r="E65" s="102"/>
      <c r="F65" s="102"/>
      <c r="G65" s="106"/>
      <c r="H65" s="93"/>
      <c r="I65" s="93"/>
      <c r="J65" s="93"/>
    </row>
    <row r="66" spans="1:10" x14ac:dyDescent="0.2">
      <c r="A66" s="98"/>
      <c r="B66" s="99"/>
      <c r="C66" s="98"/>
      <c r="D66" s="107"/>
      <c r="E66" s="254"/>
      <c r="F66" s="254"/>
      <c r="G66" s="254"/>
      <c r="H66" s="254"/>
      <c r="I66" s="97"/>
      <c r="J66" s="97"/>
    </row>
    <row r="67" spans="1:10" x14ac:dyDescent="0.2">
      <c r="A67" s="91"/>
      <c r="B67" s="102"/>
      <c r="C67" s="102"/>
      <c r="D67" s="103"/>
      <c r="E67" s="102"/>
      <c r="F67" s="102"/>
      <c r="G67" s="106"/>
      <c r="H67" s="93"/>
      <c r="I67" s="93"/>
      <c r="J67" s="93"/>
    </row>
    <row r="68" spans="1:10" x14ac:dyDescent="0.2">
      <c r="A68" s="91"/>
      <c r="B68" s="102"/>
      <c r="C68" s="102"/>
      <c r="D68" s="103"/>
      <c r="E68" s="102"/>
      <c r="F68" s="102"/>
      <c r="G68" s="106"/>
      <c r="H68" s="93"/>
      <c r="I68" s="93"/>
      <c r="J68" s="106"/>
    </row>
    <row r="69" spans="1:10" x14ac:dyDescent="0.2">
      <c r="A69" s="91"/>
      <c r="B69" s="102"/>
      <c r="C69" s="102"/>
      <c r="D69" s="103"/>
      <c r="E69" s="102"/>
      <c r="F69" s="102"/>
      <c r="G69" s="106"/>
      <c r="H69" s="93"/>
      <c r="I69" s="93"/>
      <c r="J69" s="106"/>
    </row>
    <row r="70" spans="1:10" x14ac:dyDescent="0.2">
      <c r="A70" s="91"/>
      <c r="B70" s="102"/>
      <c r="C70" s="102"/>
      <c r="D70" s="103"/>
      <c r="E70" s="102"/>
      <c r="F70" s="104"/>
      <c r="G70" s="106"/>
      <c r="H70" s="93"/>
      <c r="I70" s="93"/>
      <c r="J70" s="106"/>
    </row>
    <row r="71" spans="1:10" x14ac:dyDescent="0.2">
      <c r="A71" s="91"/>
      <c r="B71" s="102"/>
      <c r="C71" s="102"/>
      <c r="D71" s="103"/>
      <c r="E71" s="102"/>
      <c r="F71" s="104"/>
      <c r="G71" s="106"/>
      <c r="H71" s="93"/>
      <c r="I71" s="93"/>
      <c r="J71" s="106"/>
    </row>
    <row r="72" spans="1:10" x14ac:dyDescent="0.2">
      <c r="A72" s="91"/>
      <c r="B72" s="102"/>
      <c r="C72" s="102"/>
      <c r="D72" s="103"/>
      <c r="E72" s="102"/>
      <c r="F72" s="102"/>
      <c r="G72" s="106"/>
      <c r="H72" s="93"/>
      <c r="I72" s="93"/>
      <c r="J72" s="106"/>
    </row>
    <row r="73" spans="1:10" x14ac:dyDescent="0.2">
      <c r="A73" s="91"/>
      <c r="B73" s="102"/>
      <c r="C73" s="102"/>
      <c r="D73" s="103"/>
      <c r="E73" s="102"/>
      <c r="F73" s="102"/>
      <c r="G73" s="106"/>
      <c r="H73" s="93"/>
      <c r="I73" s="93"/>
      <c r="J73" s="106"/>
    </row>
    <row r="74" spans="1:10" x14ac:dyDescent="0.2">
      <c r="A74" s="91"/>
      <c r="B74" s="102"/>
      <c r="C74" s="102"/>
      <c r="D74" s="103"/>
      <c r="E74" s="102"/>
      <c r="F74" s="102"/>
      <c r="G74" s="106"/>
      <c r="H74" s="93"/>
      <c r="I74" s="93"/>
      <c r="J74" s="106"/>
    </row>
    <row r="75" spans="1:10" x14ac:dyDescent="0.2">
      <c r="A75" s="98"/>
      <c r="B75" s="99"/>
      <c r="C75" s="98"/>
      <c r="D75" s="108"/>
      <c r="E75" s="254"/>
      <c r="F75" s="254"/>
      <c r="G75" s="254"/>
      <c r="H75" s="254"/>
      <c r="I75" s="97"/>
      <c r="J75" s="97"/>
    </row>
    <row r="76" spans="1:10" x14ac:dyDescent="0.2">
      <c r="A76" s="91"/>
      <c r="B76" s="102"/>
      <c r="C76" s="91"/>
      <c r="D76" s="94"/>
      <c r="E76" s="91"/>
      <c r="F76" s="123"/>
      <c r="G76" s="95"/>
      <c r="H76" s="93"/>
      <c r="I76" s="93"/>
      <c r="J76" s="93"/>
    </row>
    <row r="77" spans="1:10" x14ac:dyDescent="0.2">
      <c r="A77" s="91"/>
      <c r="B77" s="102"/>
      <c r="C77" s="102"/>
      <c r="D77" s="109"/>
      <c r="E77" s="102"/>
      <c r="F77" s="104"/>
      <c r="G77" s="106"/>
      <c r="H77" s="93"/>
      <c r="I77" s="93"/>
      <c r="J77" s="93"/>
    </row>
    <row r="78" spans="1:10" x14ac:dyDescent="0.2">
      <c r="A78" s="91"/>
      <c r="B78" s="110"/>
      <c r="C78" s="102"/>
      <c r="D78" s="103"/>
      <c r="E78" s="91"/>
      <c r="F78" s="111"/>
      <c r="G78" s="93"/>
      <c r="H78" s="93"/>
      <c r="I78" s="93"/>
      <c r="J78" s="93"/>
    </row>
    <row r="79" spans="1:10" x14ac:dyDescent="0.2">
      <c r="A79" s="91"/>
      <c r="B79" s="110"/>
      <c r="C79" s="91"/>
      <c r="D79" s="103"/>
      <c r="E79" s="91"/>
      <c r="F79" s="111"/>
      <c r="G79" s="106"/>
      <c r="H79" s="93"/>
      <c r="I79" s="93"/>
      <c r="J79" s="93"/>
    </row>
    <row r="80" spans="1:10" x14ac:dyDescent="0.2">
      <c r="A80" s="91"/>
      <c r="B80" s="102"/>
      <c r="C80" s="102"/>
      <c r="D80" s="103"/>
      <c r="E80" s="102"/>
      <c r="F80" s="104"/>
      <c r="G80" s="106"/>
      <c r="H80" s="93"/>
      <c r="I80" s="93"/>
      <c r="J80" s="106"/>
    </row>
    <row r="81" spans="1:10" x14ac:dyDescent="0.2">
      <c r="A81" s="91"/>
      <c r="B81" s="102"/>
      <c r="C81" s="102"/>
      <c r="D81" s="103"/>
      <c r="E81" s="102"/>
      <c r="F81" s="104"/>
      <c r="G81" s="106"/>
      <c r="H81" s="93"/>
      <c r="I81" s="93"/>
      <c r="J81" s="106"/>
    </row>
    <row r="82" spans="1:10" x14ac:dyDescent="0.2">
      <c r="A82" s="98"/>
      <c r="B82" s="99"/>
      <c r="C82" s="98"/>
      <c r="D82" s="108"/>
      <c r="E82" s="254"/>
      <c r="F82" s="254"/>
      <c r="G82" s="254"/>
      <c r="H82" s="254"/>
      <c r="I82" s="97"/>
      <c r="J82" s="97"/>
    </row>
    <row r="83" spans="1:10" x14ac:dyDescent="0.2">
      <c r="A83" s="91"/>
      <c r="B83" s="102"/>
      <c r="C83" s="102"/>
      <c r="D83" s="112"/>
      <c r="E83" s="113"/>
      <c r="F83" s="114"/>
      <c r="G83" s="115"/>
      <c r="H83" s="93"/>
      <c r="I83" s="93"/>
      <c r="J83" s="93"/>
    </row>
    <row r="84" spans="1:10" x14ac:dyDescent="0.2">
      <c r="A84" s="91"/>
      <c r="B84" s="102"/>
      <c r="C84" s="102"/>
      <c r="D84" s="112"/>
      <c r="E84" s="113"/>
      <c r="F84" s="104"/>
      <c r="G84" s="106"/>
      <c r="H84" s="93"/>
      <c r="I84" s="93"/>
      <c r="J84" s="93"/>
    </row>
    <row r="85" spans="1:10" x14ac:dyDescent="0.2">
      <c r="A85" s="252"/>
      <c r="B85" s="252"/>
      <c r="C85" s="252"/>
      <c r="D85" s="252"/>
      <c r="E85" s="252"/>
      <c r="F85" s="252"/>
      <c r="G85" s="252"/>
      <c r="H85" s="252"/>
      <c r="I85" s="252"/>
      <c r="J85" s="252"/>
    </row>
  </sheetData>
  <mergeCells count="34">
    <mergeCell ref="G55:I55"/>
    <mergeCell ref="A85:J85"/>
    <mergeCell ref="E56:H56"/>
    <mergeCell ref="E63:H63"/>
    <mergeCell ref="E66:H66"/>
    <mergeCell ref="E75:H75"/>
    <mergeCell ref="E82:H82"/>
    <mergeCell ref="G54:I54"/>
    <mergeCell ref="E15:H15"/>
    <mergeCell ref="E22:H22"/>
    <mergeCell ref="E25:H25"/>
    <mergeCell ref="E35:H35"/>
    <mergeCell ref="E43:H43"/>
    <mergeCell ref="A49:F49"/>
    <mergeCell ref="A50:J50"/>
    <mergeCell ref="E52:H52"/>
    <mergeCell ref="G53:I53"/>
    <mergeCell ref="E47:H47"/>
    <mergeCell ref="A7:J7"/>
    <mergeCell ref="A8:F8"/>
    <mergeCell ref="A9:J9"/>
    <mergeCell ref="E11:H11"/>
    <mergeCell ref="E13:H13"/>
    <mergeCell ref="A1:J1"/>
    <mergeCell ref="A2:F2"/>
    <mergeCell ref="G2:J2"/>
    <mergeCell ref="A3:F3"/>
    <mergeCell ref="G3:J3"/>
    <mergeCell ref="A6:F6"/>
    <mergeCell ref="A4:F4"/>
    <mergeCell ref="G4:H4"/>
    <mergeCell ref="I4:J4"/>
    <mergeCell ref="A5:F5"/>
    <mergeCell ref="G5:J5"/>
  </mergeCells>
  <phoneticPr fontId="2" type="noConversion"/>
  <pageMargins left="0.511811024" right="0.511811024" top="0.78740157499999996" bottom="0.78740157499999996" header="0.31496062000000002" footer="0.31496062000000002"/>
  <pageSetup paperSize="9" scale="72" fitToHeight="0" orientation="landscape" r:id="rId1"/>
  <ignoredErrors>
    <ignoredError sqref="I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R94"/>
  <sheetViews>
    <sheetView topLeftCell="A16" workbookViewId="0">
      <selection activeCell="E96" sqref="E96"/>
    </sheetView>
  </sheetViews>
  <sheetFormatPr defaultRowHeight="15" x14ac:dyDescent="0.25"/>
  <cols>
    <col min="2" max="2" width="15.42578125" bestFit="1" customWidth="1"/>
    <col min="5" max="5" width="72.5703125" customWidth="1"/>
    <col min="7" max="7" width="13.140625" bestFit="1" customWidth="1"/>
    <col min="8" max="8" width="14" bestFit="1" customWidth="1"/>
    <col min="9" max="9" width="13.28515625" bestFit="1" customWidth="1"/>
    <col min="13" max="13" width="9.5703125" bestFit="1" customWidth="1"/>
    <col min="14" max="14" width="15.85546875" bestFit="1" customWidth="1"/>
    <col min="15" max="15" width="14.28515625" bestFit="1" customWidth="1"/>
    <col min="17" max="17" width="10.5703125" bestFit="1" customWidth="1"/>
  </cols>
  <sheetData>
    <row r="3" spans="2:9" ht="15.75" thickBot="1" x14ac:dyDescent="0.3"/>
    <row r="4" spans="2:9" x14ac:dyDescent="0.25">
      <c r="B4" s="263" t="s">
        <v>281</v>
      </c>
      <c r="C4" s="264"/>
      <c r="D4" s="264"/>
      <c r="E4" s="264"/>
      <c r="F4" s="264"/>
      <c r="G4" s="264"/>
      <c r="H4" s="264"/>
      <c r="I4" s="265"/>
    </row>
    <row r="5" spans="2:9" ht="15.75" thickBot="1" x14ac:dyDescent="0.3">
      <c r="B5" s="266"/>
      <c r="C5" s="267"/>
      <c r="D5" s="267"/>
      <c r="E5" s="267"/>
      <c r="F5" s="267"/>
      <c r="G5" s="267"/>
      <c r="H5" s="267"/>
      <c r="I5" s="268"/>
    </row>
    <row r="6" spans="2:9" ht="15.75" thickBot="1" x14ac:dyDescent="0.3">
      <c r="B6" s="269" t="s">
        <v>120</v>
      </c>
      <c r="C6" s="270"/>
      <c r="D6" s="270"/>
      <c r="E6" s="270"/>
      <c r="F6" s="270"/>
      <c r="G6" s="270"/>
      <c r="H6" s="270"/>
      <c r="I6" s="271"/>
    </row>
    <row r="7" spans="2:9" ht="15.75" thickBot="1" x14ac:dyDescent="0.3">
      <c r="B7" s="272" t="s">
        <v>265</v>
      </c>
      <c r="C7" s="273"/>
      <c r="D7" s="273"/>
      <c r="E7" s="273"/>
      <c r="F7" s="273"/>
      <c r="G7" s="273"/>
      <c r="H7" s="273"/>
      <c r="I7" s="274"/>
    </row>
    <row r="8" spans="2:9" ht="15.75" thickBot="1" x14ac:dyDescent="0.3">
      <c r="B8" s="275" t="s">
        <v>121</v>
      </c>
      <c r="C8" s="276"/>
      <c r="D8" s="276"/>
      <c r="E8" s="276"/>
      <c r="F8" s="276"/>
      <c r="G8" s="276"/>
      <c r="H8" s="276"/>
      <c r="I8" s="277"/>
    </row>
    <row r="9" spans="2:9" ht="15.75" thickBot="1" x14ac:dyDescent="0.3">
      <c r="B9" s="272" t="s">
        <v>262</v>
      </c>
      <c r="C9" s="273"/>
      <c r="D9" s="273"/>
      <c r="E9" s="273"/>
      <c r="F9" s="273"/>
      <c r="G9" s="273"/>
      <c r="H9" s="273"/>
      <c r="I9" s="274"/>
    </row>
    <row r="10" spans="2:9" ht="15.75" thickBot="1" x14ac:dyDescent="0.3">
      <c r="B10" s="281" t="s">
        <v>177</v>
      </c>
      <c r="C10" s="282"/>
      <c r="D10" s="282"/>
      <c r="E10" s="282"/>
      <c r="F10" s="282"/>
      <c r="G10" s="282"/>
      <c r="H10" s="282"/>
      <c r="I10" s="283"/>
    </row>
    <row r="11" spans="2:9" x14ac:dyDescent="0.25">
      <c r="B11" s="19" t="s">
        <v>178</v>
      </c>
      <c r="C11" s="20" t="s">
        <v>86</v>
      </c>
      <c r="D11" s="21" t="s">
        <v>87</v>
      </c>
      <c r="E11" s="22" t="s">
        <v>179</v>
      </c>
      <c r="F11" s="21" t="s">
        <v>89</v>
      </c>
      <c r="G11" s="21" t="s">
        <v>180</v>
      </c>
      <c r="H11" s="23" t="s">
        <v>181</v>
      </c>
      <c r="I11" s="24" t="s">
        <v>3</v>
      </c>
    </row>
    <row r="12" spans="2:9" x14ac:dyDescent="0.25">
      <c r="B12" s="25" t="s">
        <v>183</v>
      </c>
      <c r="C12" s="27" t="s">
        <v>182</v>
      </c>
      <c r="D12" s="151" t="s">
        <v>308</v>
      </c>
      <c r="E12" s="27" t="s">
        <v>304</v>
      </c>
      <c r="F12" s="133" t="s">
        <v>187</v>
      </c>
      <c r="G12" s="146">
        <v>0.2</v>
      </c>
      <c r="H12" s="186">
        <v>25807.601600000002</v>
      </c>
      <c r="I12" s="29">
        <f t="shared" ref="I12:I13" si="0">G12*H12</f>
        <v>5161.5203200000005</v>
      </c>
    </row>
    <row r="13" spans="2:9" ht="15.75" thickBot="1" x14ac:dyDescent="0.3">
      <c r="B13" s="34" t="s">
        <v>183</v>
      </c>
      <c r="C13" s="27" t="s">
        <v>182</v>
      </c>
      <c r="D13" s="151" t="s">
        <v>309</v>
      </c>
      <c r="E13" s="27" t="s">
        <v>305</v>
      </c>
      <c r="F13" s="133" t="s">
        <v>187</v>
      </c>
      <c r="G13" s="146">
        <v>1</v>
      </c>
      <c r="H13" s="186">
        <v>11927.822099999999</v>
      </c>
      <c r="I13" s="39">
        <f t="shared" si="0"/>
        <v>11927.822099999999</v>
      </c>
    </row>
    <row r="14" spans="2:9" ht="15.75" thickBot="1" x14ac:dyDescent="0.3">
      <c r="B14" s="260" t="s">
        <v>184</v>
      </c>
      <c r="C14" s="261"/>
      <c r="D14" s="261"/>
      <c r="E14" s="261"/>
      <c r="F14" s="261"/>
      <c r="G14" s="261"/>
      <c r="H14" s="262"/>
      <c r="I14" s="40">
        <f>SUM(I12:I13)</f>
        <v>17089.342420000001</v>
      </c>
    </row>
    <row r="15" spans="2:9" ht="15.75" thickBot="1" x14ac:dyDescent="0.3">
      <c r="B15" s="183"/>
      <c r="C15" s="160"/>
      <c r="D15" s="160"/>
      <c r="E15" s="160"/>
      <c r="F15" s="160"/>
      <c r="G15" s="160"/>
      <c r="H15" s="160"/>
      <c r="I15" s="161"/>
    </row>
    <row r="16" spans="2:9" ht="15.75" thickBot="1" x14ac:dyDescent="0.3">
      <c r="B16" s="290" t="s">
        <v>169</v>
      </c>
      <c r="C16" s="291"/>
      <c r="D16" s="291"/>
      <c r="E16" s="291"/>
      <c r="F16" s="291"/>
      <c r="G16" s="291"/>
      <c r="H16" s="291"/>
      <c r="I16" s="292"/>
    </row>
    <row r="17" spans="2:18" x14ac:dyDescent="0.25">
      <c r="B17" s="19" t="s">
        <v>249</v>
      </c>
      <c r="C17" s="20" t="s">
        <v>86</v>
      </c>
      <c r="D17" s="21" t="s">
        <v>87</v>
      </c>
      <c r="E17" s="22" t="s">
        <v>179</v>
      </c>
      <c r="F17" s="21" t="s">
        <v>89</v>
      </c>
      <c r="G17" s="21" t="s">
        <v>180</v>
      </c>
      <c r="H17" s="23" t="s">
        <v>181</v>
      </c>
      <c r="I17" s="24" t="s">
        <v>3</v>
      </c>
    </row>
    <row r="18" spans="2:18" x14ac:dyDescent="0.25">
      <c r="B18" s="74" t="s">
        <v>183</v>
      </c>
      <c r="C18" s="27" t="s">
        <v>182</v>
      </c>
      <c r="D18" s="151" t="s">
        <v>310</v>
      </c>
      <c r="E18" s="27" t="s">
        <v>306</v>
      </c>
      <c r="F18" s="133" t="s">
        <v>104</v>
      </c>
      <c r="G18" s="141">
        <v>0.5</v>
      </c>
      <c r="H18" s="134">
        <v>21.2605</v>
      </c>
      <c r="I18" s="135">
        <f t="shared" ref="I18:I20" si="1">G18*H18</f>
        <v>10.63025</v>
      </c>
    </row>
    <row r="19" spans="2:18" x14ac:dyDescent="0.25">
      <c r="B19" s="74" t="s">
        <v>183</v>
      </c>
      <c r="C19" s="27" t="s">
        <v>182</v>
      </c>
      <c r="D19" s="151" t="s">
        <v>254</v>
      </c>
      <c r="E19" s="27" t="s">
        <v>307</v>
      </c>
      <c r="F19" s="133" t="s">
        <v>104</v>
      </c>
      <c r="G19" s="141">
        <v>0.5</v>
      </c>
      <c r="H19" s="136">
        <v>37.017099999999999</v>
      </c>
      <c r="I19" s="135">
        <f t="shared" si="1"/>
        <v>18.50855</v>
      </c>
    </row>
    <row r="20" spans="2:18" ht="15.75" thickBot="1" x14ac:dyDescent="0.3">
      <c r="B20" s="74" t="s">
        <v>210</v>
      </c>
      <c r="C20" s="137" t="s">
        <v>182</v>
      </c>
      <c r="D20" s="30" t="s">
        <v>211</v>
      </c>
      <c r="E20" s="27" t="s">
        <v>212</v>
      </c>
      <c r="F20" s="30" t="s">
        <v>89</v>
      </c>
      <c r="G20" s="141">
        <v>4</v>
      </c>
      <c r="H20" s="138">
        <v>7.2774000000000001</v>
      </c>
      <c r="I20" s="135">
        <f t="shared" si="1"/>
        <v>29.1096</v>
      </c>
      <c r="M20" s="155"/>
      <c r="N20" s="157"/>
      <c r="Q20" s="158"/>
    </row>
    <row r="21" spans="2:18" ht="15.75" thickBot="1" x14ac:dyDescent="0.3">
      <c r="B21" s="260" t="s">
        <v>184</v>
      </c>
      <c r="C21" s="261"/>
      <c r="D21" s="261"/>
      <c r="E21" s="261"/>
      <c r="F21" s="261"/>
      <c r="G21" s="261"/>
      <c r="H21" s="262"/>
      <c r="I21" s="40">
        <f>SUM(I18:I20)</f>
        <v>58.248400000000004</v>
      </c>
    </row>
    <row r="22" spans="2:18" ht="15.75" thickBot="1" x14ac:dyDescent="0.3">
      <c r="B22" s="284" t="s">
        <v>213</v>
      </c>
      <c r="C22" s="285"/>
      <c r="D22" s="285"/>
      <c r="E22" s="285"/>
      <c r="F22" s="285"/>
      <c r="G22" s="285"/>
      <c r="H22" s="285"/>
      <c r="I22" s="286"/>
      <c r="O22" s="155"/>
      <c r="R22" s="158"/>
    </row>
    <row r="23" spans="2:18" ht="15.75" thickBot="1" x14ac:dyDescent="0.3">
      <c r="B23" s="183"/>
      <c r="C23" s="160"/>
      <c r="D23" s="160"/>
      <c r="E23" s="160"/>
      <c r="F23" s="160"/>
      <c r="G23" s="160"/>
      <c r="H23" s="160"/>
      <c r="I23" s="161"/>
      <c r="N23" s="157"/>
      <c r="Q23" s="156"/>
    </row>
    <row r="24" spans="2:18" ht="15.75" hidden="1" thickBot="1" x14ac:dyDescent="0.3">
      <c r="B24" s="183"/>
      <c r="C24" s="160"/>
      <c r="D24" s="160"/>
      <c r="E24" s="160"/>
      <c r="F24" s="160"/>
      <c r="G24" s="160"/>
      <c r="H24" s="160"/>
      <c r="I24" s="161"/>
    </row>
    <row r="25" spans="2:18" ht="15.75" thickBot="1" x14ac:dyDescent="0.3">
      <c r="B25" s="281" t="s">
        <v>226</v>
      </c>
      <c r="C25" s="282"/>
      <c r="D25" s="282"/>
      <c r="E25" s="282"/>
      <c r="F25" s="282"/>
      <c r="G25" s="282"/>
      <c r="H25" s="282"/>
      <c r="I25" s="283"/>
      <c r="R25" s="156"/>
    </row>
    <row r="26" spans="2:18" x14ac:dyDescent="0.25">
      <c r="B26" s="19" t="s">
        <v>247</v>
      </c>
      <c r="C26" s="20" t="s">
        <v>86</v>
      </c>
      <c r="D26" s="21" t="s">
        <v>87</v>
      </c>
      <c r="E26" s="22" t="s">
        <v>179</v>
      </c>
      <c r="F26" s="21" t="s">
        <v>89</v>
      </c>
      <c r="G26" s="21" t="s">
        <v>180</v>
      </c>
      <c r="H26" s="23" t="s">
        <v>181</v>
      </c>
      <c r="I26" s="24" t="s">
        <v>3</v>
      </c>
      <c r="O26" s="157"/>
    </row>
    <row r="27" spans="2:18" x14ac:dyDescent="0.25">
      <c r="B27" s="32" t="s">
        <v>210</v>
      </c>
      <c r="C27" s="33" t="s">
        <v>227</v>
      </c>
      <c r="D27" s="149">
        <v>20247</v>
      </c>
      <c r="E27" s="33" t="s">
        <v>228</v>
      </c>
      <c r="F27" s="124" t="s">
        <v>229</v>
      </c>
      <c r="G27" s="126">
        <v>1.3514E-3</v>
      </c>
      <c r="H27" s="31">
        <v>20.21</v>
      </c>
      <c r="I27" s="29">
        <f t="shared" ref="I27:I30" si="2">G27*H27</f>
        <v>2.7311794E-2</v>
      </c>
    </row>
    <row r="28" spans="2:18" x14ac:dyDescent="0.25">
      <c r="B28" s="32" t="s">
        <v>210</v>
      </c>
      <c r="C28" s="126" t="s">
        <v>227</v>
      </c>
      <c r="D28" s="149">
        <v>4509</v>
      </c>
      <c r="E28" s="127" t="s">
        <v>230</v>
      </c>
      <c r="F28" s="124" t="s">
        <v>231</v>
      </c>
      <c r="G28" s="126">
        <v>0.26250000000000001</v>
      </c>
      <c r="H28" s="128">
        <v>4.24</v>
      </c>
      <c r="I28" s="29">
        <f t="shared" si="2"/>
        <v>1.1130000000000002</v>
      </c>
    </row>
    <row r="29" spans="2:18" x14ac:dyDescent="0.25">
      <c r="B29" s="25" t="s">
        <v>183</v>
      </c>
      <c r="C29" s="127" t="s">
        <v>227</v>
      </c>
      <c r="D29" s="150">
        <v>7592</v>
      </c>
      <c r="E29" s="127" t="s">
        <v>232</v>
      </c>
      <c r="F29" s="1" t="s">
        <v>233</v>
      </c>
      <c r="G29" s="127">
        <v>0.91666669999999995</v>
      </c>
      <c r="H29" s="185">
        <v>44.98</v>
      </c>
      <c r="I29" s="139">
        <f t="shared" si="2"/>
        <v>41.231668165999992</v>
      </c>
    </row>
    <row r="30" spans="2:18" ht="15.75" thickBot="1" x14ac:dyDescent="0.3">
      <c r="B30" s="129" t="s">
        <v>183</v>
      </c>
      <c r="C30" s="130" t="s">
        <v>227</v>
      </c>
      <c r="D30" s="148">
        <v>244</v>
      </c>
      <c r="E30" s="130" t="s">
        <v>234</v>
      </c>
      <c r="F30" s="140" t="s">
        <v>233</v>
      </c>
      <c r="G30" s="130">
        <v>0.91666669999999995</v>
      </c>
      <c r="H30" s="147">
        <v>20.22</v>
      </c>
      <c r="I30" s="159">
        <f t="shared" si="2"/>
        <v>18.535000673999999</v>
      </c>
    </row>
    <row r="31" spans="2:18" ht="15.75" thickBot="1" x14ac:dyDescent="0.3">
      <c r="B31" s="260" t="s">
        <v>184</v>
      </c>
      <c r="C31" s="261"/>
      <c r="D31" s="261"/>
      <c r="E31" s="261"/>
      <c r="F31" s="261"/>
      <c r="G31" s="261"/>
      <c r="H31" s="262"/>
      <c r="I31" s="40">
        <f>SUM(I27:I30)</f>
        <v>60.906980633999993</v>
      </c>
    </row>
    <row r="32" spans="2:18" ht="15.75" thickBot="1" x14ac:dyDescent="0.3">
      <c r="B32" s="183"/>
      <c r="C32" s="160"/>
      <c r="D32" s="160"/>
      <c r="E32" s="160"/>
      <c r="F32" s="160"/>
      <c r="G32" s="160"/>
      <c r="H32" s="160"/>
      <c r="I32" s="161"/>
    </row>
    <row r="33" spans="2:13" ht="15.75" hidden="1" thickBot="1" x14ac:dyDescent="0.3">
      <c r="B33" s="183"/>
      <c r="C33" s="160"/>
      <c r="D33" s="160"/>
      <c r="E33" s="160"/>
      <c r="F33" s="160"/>
      <c r="G33" s="160"/>
      <c r="H33" s="160"/>
      <c r="I33" s="161"/>
    </row>
    <row r="34" spans="2:13" ht="35.25" customHeight="1" thickBot="1" x14ac:dyDescent="0.3">
      <c r="B34" s="287" t="s">
        <v>188</v>
      </c>
      <c r="C34" s="288"/>
      <c r="D34" s="288"/>
      <c r="E34" s="288"/>
      <c r="F34" s="288"/>
      <c r="G34" s="288"/>
      <c r="H34" s="288"/>
      <c r="I34" s="289"/>
    </row>
    <row r="35" spans="2:13" x14ac:dyDescent="0.25">
      <c r="B35" s="19" t="s">
        <v>209</v>
      </c>
      <c r="C35" s="20" t="s">
        <v>86</v>
      </c>
      <c r="D35" s="21" t="s">
        <v>87</v>
      </c>
      <c r="E35" s="22" t="s">
        <v>179</v>
      </c>
      <c r="F35" s="21" t="s">
        <v>89</v>
      </c>
      <c r="G35" s="21" t="s">
        <v>180</v>
      </c>
      <c r="H35" s="23" t="s">
        <v>181</v>
      </c>
      <c r="I35" s="24" t="s">
        <v>3</v>
      </c>
    </row>
    <row r="36" spans="2:13" x14ac:dyDescent="0.25">
      <c r="B36" s="74" t="s">
        <v>183</v>
      </c>
      <c r="C36" s="27" t="s">
        <v>182</v>
      </c>
      <c r="D36" s="151" t="s">
        <v>310</v>
      </c>
      <c r="E36" s="27" t="s">
        <v>306</v>
      </c>
      <c r="F36" s="133" t="s">
        <v>104</v>
      </c>
      <c r="G36" s="142">
        <v>9.76</v>
      </c>
      <c r="H36" s="28">
        <v>21.26</v>
      </c>
      <c r="I36" s="29">
        <f>G36*H36</f>
        <v>207.49760000000001</v>
      </c>
    </row>
    <row r="37" spans="2:13" ht="60.75" thickBot="1" x14ac:dyDescent="0.3">
      <c r="B37" s="32" t="s">
        <v>264</v>
      </c>
      <c r="C37" s="130" t="s">
        <v>99</v>
      </c>
      <c r="D37" s="148">
        <v>93402</v>
      </c>
      <c r="E37" s="130" t="s">
        <v>248</v>
      </c>
      <c r="F37" s="140" t="s">
        <v>108</v>
      </c>
      <c r="G37" s="142">
        <v>4.88</v>
      </c>
      <c r="H37" s="28">
        <v>272.62</v>
      </c>
      <c r="I37" s="29">
        <f>G37*H37</f>
        <v>1330.3856000000001</v>
      </c>
    </row>
    <row r="38" spans="2:13" ht="15.75" hidden="1" thickBot="1" x14ac:dyDescent="0.3">
      <c r="B38" s="34"/>
      <c r="C38" s="26"/>
      <c r="D38" s="35"/>
      <c r="E38" s="36"/>
      <c r="F38" s="37"/>
      <c r="G38" s="143"/>
      <c r="H38" s="38"/>
      <c r="I38" s="39"/>
    </row>
    <row r="39" spans="2:13" ht="15.75" thickBot="1" x14ac:dyDescent="0.3">
      <c r="B39" s="260" t="s">
        <v>184</v>
      </c>
      <c r="C39" s="261"/>
      <c r="D39" s="261"/>
      <c r="E39" s="261"/>
      <c r="F39" s="261"/>
      <c r="G39" s="261"/>
      <c r="H39" s="262"/>
      <c r="I39" s="40">
        <f>SUM(I36:I38)</f>
        <v>1537.8832</v>
      </c>
    </row>
    <row r="40" spans="2:13" ht="15.75" thickBot="1" x14ac:dyDescent="0.3">
      <c r="B40" s="183"/>
      <c r="C40" s="160"/>
      <c r="D40" s="160"/>
      <c r="E40" s="160"/>
      <c r="F40" s="160"/>
      <c r="G40" s="160"/>
      <c r="H40" s="160"/>
      <c r="I40" s="161"/>
    </row>
    <row r="41" spans="2:13" ht="15.75" hidden="1" thickBot="1" x14ac:dyDescent="0.3">
      <c r="B41" s="183"/>
      <c r="C41" s="160"/>
      <c r="D41" s="160"/>
      <c r="E41" s="160"/>
      <c r="F41" s="160"/>
      <c r="G41" s="160"/>
      <c r="H41" s="160"/>
      <c r="I41" s="161"/>
    </row>
    <row r="42" spans="2:13" ht="31.5" customHeight="1" thickBot="1" x14ac:dyDescent="0.3">
      <c r="B42" s="287" t="s">
        <v>261</v>
      </c>
      <c r="C42" s="288"/>
      <c r="D42" s="288"/>
      <c r="E42" s="288"/>
      <c r="F42" s="288"/>
      <c r="G42" s="288"/>
      <c r="H42" s="288"/>
      <c r="I42" s="289"/>
    </row>
    <row r="43" spans="2:13" x14ac:dyDescent="0.25">
      <c r="B43" s="19" t="s">
        <v>244</v>
      </c>
      <c r="C43" s="20" t="s">
        <v>86</v>
      </c>
      <c r="D43" s="21" t="s">
        <v>87</v>
      </c>
      <c r="E43" s="22" t="s">
        <v>179</v>
      </c>
      <c r="F43" s="21" t="s">
        <v>89</v>
      </c>
      <c r="G43" s="21" t="s">
        <v>180</v>
      </c>
      <c r="H43" s="23" t="s">
        <v>181</v>
      </c>
      <c r="I43" s="24" t="s">
        <v>3</v>
      </c>
    </row>
    <row r="44" spans="2:13" x14ac:dyDescent="0.25">
      <c r="B44" s="25" t="s">
        <v>264</v>
      </c>
      <c r="C44" s="130" t="s">
        <v>182</v>
      </c>
      <c r="D44" s="148" t="s">
        <v>251</v>
      </c>
      <c r="E44" s="130" t="s">
        <v>252</v>
      </c>
      <c r="F44" s="140" t="s">
        <v>108</v>
      </c>
      <c r="G44" s="142">
        <f>0.0753/15</f>
        <v>5.0200000000000002E-3</v>
      </c>
      <c r="H44" s="28">
        <v>314.47399999999999</v>
      </c>
      <c r="I44" s="29">
        <f>G44*H44</f>
        <v>1.57865948</v>
      </c>
      <c r="M44" s="144"/>
    </row>
    <row r="45" spans="2:13" x14ac:dyDescent="0.25">
      <c r="B45" s="25" t="s">
        <v>183</v>
      </c>
      <c r="C45" s="130" t="s">
        <v>182</v>
      </c>
      <c r="D45" s="148" t="s">
        <v>245</v>
      </c>
      <c r="E45" s="130" t="s">
        <v>253</v>
      </c>
      <c r="F45" s="140" t="s">
        <v>104</v>
      </c>
      <c r="G45" s="142">
        <f>1/15</f>
        <v>6.6666666666666666E-2</v>
      </c>
      <c r="H45" s="28">
        <v>23.714500000000001</v>
      </c>
      <c r="I45" s="29">
        <f t="shared" ref="I45:I50" si="3">G45*H45</f>
        <v>1.5809666666666666</v>
      </c>
      <c r="M45" s="144"/>
    </row>
    <row r="46" spans="2:13" x14ac:dyDescent="0.25">
      <c r="B46" s="25" t="s">
        <v>183</v>
      </c>
      <c r="C46" s="130" t="s">
        <v>182</v>
      </c>
      <c r="D46" s="148" t="s">
        <v>254</v>
      </c>
      <c r="E46" s="130" t="s">
        <v>255</v>
      </c>
      <c r="F46" s="140" t="s">
        <v>104</v>
      </c>
      <c r="G46" s="142">
        <f>1/15</f>
        <v>6.6666666666666666E-2</v>
      </c>
      <c r="H46" s="28">
        <v>37.017099999999999</v>
      </c>
      <c r="I46" s="29">
        <f t="shared" si="3"/>
        <v>2.4678066666666667</v>
      </c>
      <c r="M46" s="144"/>
    </row>
    <row r="47" spans="2:13" x14ac:dyDescent="0.25">
      <c r="B47" s="25" t="s">
        <v>1</v>
      </c>
      <c r="C47" s="130" t="s">
        <v>182</v>
      </c>
      <c r="D47" s="148" t="s">
        <v>256</v>
      </c>
      <c r="E47" s="130" t="s">
        <v>257</v>
      </c>
      <c r="F47" s="140" t="s">
        <v>114</v>
      </c>
      <c r="G47" s="142">
        <v>1.03</v>
      </c>
      <c r="H47" s="28">
        <v>32.448900000000002</v>
      </c>
      <c r="I47" s="29">
        <f t="shared" si="3"/>
        <v>33.422367000000001</v>
      </c>
    </row>
    <row r="48" spans="2:13" x14ac:dyDescent="0.25">
      <c r="B48" s="25" t="s">
        <v>118</v>
      </c>
      <c r="C48" s="130" t="s">
        <v>182</v>
      </c>
      <c r="D48" s="148">
        <v>1408173</v>
      </c>
      <c r="E48" s="130" t="s">
        <v>258</v>
      </c>
      <c r="F48" s="140" t="s">
        <v>259</v>
      </c>
      <c r="G48" s="142">
        <v>1</v>
      </c>
      <c r="H48" s="28">
        <v>0.06</v>
      </c>
      <c r="I48" s="29">
        <f t="shared" si="3"/>
        <v>0.06</v>
      </c>
    </row>
    <row r="49" spans="2:9" ht="30.75" thickBot="1" x14ac:dyDescent="0.3">
      <c r="B49" s="25" t="s">
        <v>118</v>
      </c>
      <c r="C49" s="130" t="s">
        <v>182</v>
      </c>
      <c r="D49" s="148">
        <v>2408058</v>
      </c>
      <c r="E49" s="130" t="s">
        <v>260</v>
      </c>
      <c r="F49" s="140" t="s">
        <v>114</v>
      </c>
      <c r="G49" s="142">
        <v>1.4999999999999999E-2</v>
      </c>
      <c r="H49" s="28">
        <v>68.56</v>
      </c>
      <c r="I49" s="29">
        <f t="shared" si="3"/>
        <v>1.0284</v>
      </c>
    </row>
    <row r="50" spans="2:9" ht="15.75" hidden="1" thickBot="1" x14ac:dyDescent="0.3">
      <c r="B50" s="34"/>
      <c r="C50" s="26"/>
      <c r="D50" s="35"/>
      <c r="E50" s="36"/>
      <c r="F50" s="37"/>
      <c r="G50" s="143"/>
      <c r="H50" s="38"/>
      <c r="I50" s="29">
        <f t="shared" si="3"/>
        <v>0</v>
      </c>
    </row>
    <row r="51" spans="2:9" ht="15.75" thickBot="1" x14ac:dyDescent="0.3">
      <c r="B51" s="260" t="s">
        <v>184</v>
      </c>
      <c r="C51" s="261"/>
      <c r="D51" s="261"/>
      <c r="E51" s="261"/>
      <c r="F51" s="261"/>
      <c r="G51" s="261"/>
      <c r="H51" s="262"/>
      <c r="I51" s="40">
        <f>SUM(I44:I50)</f>
        <v>40.138199813333337</v>
      </c>
    </row>
    <row r="52" spans="2:9" x14ac:dyDescent="0.25">
      <c r="B52" s="183"/>
      <c r="C52" s="160"/>
      <c r="D52" s="160"/>
      <c r="E52" s="160"/>
      <c r="F52" s="160"/>
      <c r="G52" s="160"/>
      <c r="H52" s="160"/>
      <c r="I52" s="161"/>
    </row>
    <row r="53" spans="2:9" x14ac:dyDescent="0.25">
      <c r="B53" s="183"/>
      <c r="C53" s="160"/>
      <c r="D53" s="160"/>
      <c r="E53" s="160"/>
      <c r="F53" s="160"/>
      <c r="G53" s="160"/>
      <c r="H53" s="160"/>
      <c r="I53" s="161"/>
    </row>
    <row r="54" spans="2:9" x14ac:dyDescent="0.25">
      <c r="B54" s="183"/>
      <c r="C54" s="160"/>
      <c r="D54" s="160"/>
      <c r="E54" s="160"/>
      <c r="F54" s="160"/>
      <c r="G54" s="160"/>
      <c r="H54" s="160"/>
      <c r="I54" s="161"/>
    </row>
    <row r="55" spans="2:9" x14ac:dyDescent="0.25">
      <c r="B55" s="183"/>
      <c r="C55" s="160"/>
      <c r="D55" s="160"/>
      <c r="E55" s="160"/>
      <c r="F55" s="160"/>
      <c r="G55" s="160"/>
      <c r="H55" s="160"/>
      <c r="I55" s="161"/>
    </row>
    <row r="56" spans="2:9" x14ac:dyDescent="0.25">
      <c r="B56" s="183"/>
      <c r="C56" s="160"/>
      <c r="D56" s="160"/>
      <c r="E56" s="103" t="s">
        <v>221</v>
      </c>
      <c r="F56" s="160"/>
      <c r="G56" s="160"/>
      <c r="H56" s="160"/>
      <c r="I56" s="161"/>
    </row>
    <row r="57" spans="2:9" x14ac:dyDescent="0.25">
      <c r="B57" s="183"/>
      <c r="C57" s="160"/>
      <c r="D57" s="160"/>
      <c r="E57" s="167" t="s">
        <v>222</v>
      </c>
      <c r="F57" s="160"/>
      <c r="G57" s="160"/>
      <c r="H57" s="160"/>
      <c r="I57" s="161"/>
    </row>
    <row r="58" spans="2:9" x14ac:dyDescent="0.25">
      <c r="B58" s="183"/>
      <c r="C58" s="160"/>
      <c r="D58" s="160"/>
      <c r="E58" s="103" t="s">
        <v>223</v>
      </c>
      <c r="F58" s="160"/>
      <c r="G58" s="160"/>
      <c r="H58" s="160"/>
      <c r="I58" s="161"/>
    </row>
    <row r="59" spans="2:9" x14ac:dyDescent="0.25">
      <c r="B59" s="183"/>
      <c r="C59" s="160"/>
      <c r="D59" s="160"/>
      <c r="E59" s="160"/>
      <c r="F59" s="160"/>
      <c r="G59" s="160"/>
      <c r="H59" s="160"/>
      <c r="I59" s="161"/>
    </row>
    <row r="60" spans="2:9" x14ac:dyDescent="0.25">
      <c r="B60" s="183"/>
      <c r="C60" s="160"/>
      <c r="D60" s="160"/>
      <c r="E60" s="160"/>
      <c r="F60" s="160"/>
      <c r="G60" s="160"/>
      <c r="H60" s="160"/>
      <c r="I60" s="161"/>
    </row>
    <row r="61" spans="2:9" ht="15.75" thickBot="1" x14ac:dyDescent="0.3">
      <c r="B61" s="184"/>
      <c r="C61" s="165"/>
      <c r="D61" s="165"/>
      <c r="E61" s="165"/>
      <c r="F61" s="165"/>
      <c r="G61" s="165"/>
      <c r="H61" s="165"/>
      <c r="I61" s="166"/>
    </row>
    <row r="66" spans="2:9" ht="15.75" thickBot="1" x14ac:dyDescent="0.3"/>
    <row r="67" spans="2:9" x14ac:dyDescent="0.25">
      <c r="B67" s="263" t="s">
        <v>296</v>
      </c>
      <c r="C67" s="264"/>
      <c r="D67" s="264"/>
      <c r="E67" s="264"/>
      <c r="F67" s="264"/>
      <c r="G67" s="264"/>
      <c r="H67" s="264"/>
      <c r="I67" s="265"/>
    </row>
    <row r="68" spans="2:9" ht="15.75" thickBot="1" x14ac:dyDescent="0.3">
      <c r="B68" s="266"/>
      <c r="C68" s="267"/>
      <c r="D68" s="267"/>
      <c r="E68" s="267"/>
      <c r="F68" s="267"/>
      <c r="G68" s="267"/>
      <c r="H68" s="267"/>
      <c r="I68" s="268"/>
    </row>
    <row r="69" spans="2:9" ht="15.75" thickBot="1" x14ac:dyDescent="0.3">
      <c r="B69" s="269" t="s">
        <v>120</v>
      </c>
      <c r="C69" s="270"/>
      <c r="D69" s="270"/>
      <c r="E69" s="270"/>
      <c r="F69" s="270"/>
      <c r="G69" s="270"/>
      <c r="H69" s="270"/>
      <c r="I69" s="271"/>
    </row>
    <row r="70" spans="2:9" ht="15.75" thickBot="1" x14ac:dyDescent="0.3">
      <c r="B70" s="272" t="s">
        <v>265</v>
      </c>
      <c r="C70" s="273"/>
      <c r="D70" s="273"/>
      <c r="E70" s="273"/>
      <c r="F70" s="273"/>
      <c r="G70" s="273"/>
      <c r="H70" s="273"/>
      <c r="I70" s="274"/>
    </row>
    <row r="71" spans="2:9" ht="15.75" thickBot="1" x14ac:dyDescent="0.3">
      <c r="B71" s="275" t="s">
        <v>121</v>
      </c>
      <c r="C71" s="276"/>
      <c r="D71" s="276"/>
      <c r="E71" s="276"/>
      <c r="F71" s="276"/>
      <c r="G71" s="276"/>
      <c r="H71" s="276"/>
      <c r="I71" s="277"/>
    </row>
    <row r="72" spans="2:9" ht="15.75" thickBot="1" x14ac:dyDescent="0.3">
      <c r="B72" s="272" t="s">
        <v>315</v>
      </c>
      <c r="C72" s="273"/>
      <c r="D72" s="273"/>
      <c r="E72" s="273"/>
      <c r="F72" s="273"/>
      <c r="G72" s="273"/>
      <c r="H72" s="273"/>
      <c r="I72" s="274"/>
    </row>
    <row r="73" spans="2:9" ht="15.75" thickBot="1" x14ac:dyDescent="0.3">
      <c r="B73" s="278" t="s">
        <v>295</v>
      </c>
      <c r="C73" s="279"/>
      <c r="D73" s="279"/>
      <c r="E73" s="279"/>
      <c r="F73" s="279"/>
      <c r="G73" s="279"/>
      <c r="H73" s="279"/>
      <c r="I73" s="280"/>
    </row>
    <row r="74" spans="2:9" ht="15.75" thickBot="1" x14ac:dyDescent="0.3">
      <c r="B74" s="205" t="s">
        <v>299</v>
      </c>
      <c r="C74" s="206" t="s">
        <v>86</v>
      </c>
      <c r="D74" s="207" t="s">
        <v>87</v>
      </c>
      <c r="E74" s="208" t="s">
        <v>179</v>
      </c>
      <c r="F74" s="207" t="s">
        <v>89</v>
      </c>
      <c r="G74" s="207" t="s">
        <v>180</v>
      </c>
      <c r="H74" s="209" t="s">
        <v>181</v>
      </c>
      <c r="I74" s="210" t="s">
        <v>3</v>
      </c>
    </row>
    <row r="75" spans="2:9" x14ac:dyDescent="0.25">
      <c r="B75" s="200"/>
      <c r="C75" s="201" t="s">
        <v>182</v>
      </c>
      <c r="D75" s="201" t="s">
        <v>286</v>
      </c>
      <c r="E75" s="201" t="s">
        <v>287</v>
      </c>
      <c r="F75" s="202" t="s">
        <v>108</v>
      </c>
      <c r="G75" s="203">
        <v>2.86</v>
      </c>
      <c r="H75" s="201">
        <v>82.159199999999998</v>
      </c>
      <c r="I75" s="204">
        <f>G75*H75</f>
        <v>234.97531199999997</v>
      </c>
    </row>
    <row r="76" spans="2:9" x14ac:dyDescent="0.25">
      <c r="B76" s="25"/>
      <c r="C76" s="130" t="s">
        <v>182</v>
      </c>
      <c r="D76" s="130" t="s">
        <v>286</v>
      </c>
      <c r="E76" s="130" t="s">
        <v>287</v>
      </c>
      <c r="F76" s="140" t="s">
        <v>288</v>
      </c>
      <c r="G76" s="199">
        <v>6</v>
      </c>
      <c r="H76" s="130">
        <v>45.441800000000001</v>
      </c>
      <c r="I76" s="196">
        <f t="shared" ref="I76:I85" si="4">G76*H76</f>
        <v>272.6508</v>
      </c>
    </row>
    <row r="77" spans="2:9" x14ac:dyDescent="0.25">
      <c r="B77" s="25"/>
      <c r="C77" s="130" t="s">
        <v>182</v>
      </c>
      <c r="D77" s="130" t="s">
        <v>289</v>
      </c>
      <c r="E77" s="130" t="s">
        <v>290</v>
      </c>
      <c r="F77" s="140" t="s">
        <v>108</v>
      </c>
      <c r="G77" s="130">
        <v>2.86</v>
      </c>
      <c r="H77" s="130">
        <v>305.94830000000002</v>
      </c>
      <c r="I77" s="196">
        <f t="shared" si="4"/>
        <v>875.01213800000005</v>
      </c>
    </row>
    <row r="78" spans="2:9" ht="24" customHeight="1" x14ac:dyDescent="0.25">
      <c r="B78" s="25"/>
      <c r="C78" s="130" t="s">
        <v>182</v>
      </c>
      <c r="D78" s="130" t="s">
        <v>291</v>
      </c>
      <c r="E78" s="130" t="s">
        <v>292</v>
      </c>
      <c r="F78" s="140" t="s">
        <v>108</v>
      </c>
      <c r="G78" s="130">
        <v>2.86</v>
      </c>
      <c r="H78" s="130">
        <v>295.91269999999997</v>
      </c>
      <c r="I78" s="196">
        <f t="shared" si="4"/>
        <v>846.31032199999993</v>
      </c>
    </row>
    <row r="79" spans="2:9" x14ac:dyDescent="0.25">
      <c r="B79" s="25"/>
      <c r="C79" s="130" t="s">
        <v>182</v>
      </c>
      <c r="D79" s="130" t="s">
        <v>293</v>
      </c>
      <c r="E79" s="130" t="s">
        <v>294</v>
      </c>
      <c r="F79" s="140" t="s">
        <v>108</v>
      </c>
      <c r="G79" s="130">
        <v>2.86</v>
      </c>
      <c r="H79" s="130">
        <v>385.18090000000001</v>
      </c>
      <c r="I79" s="196">
        <f t="shared" si="4"/>
        <v>1101.6173739999999</v>
      </c>
    </row>
    <row r="80" spans="2:9" ht="15.75" thickBot="1" x14ac:dyDescent="0.3">
      <c r="B80" s="25"/>
      <c r="C80" s="130" t="s">
        <v>182</v>
      </c>
      <c r="D80" s="130" t="s">
        <v>293</v>
      </c>
      <c r="E80" s="130" t="s">
        <v>294</v>
      </c>
      <c r="F80" s="140" t="s">
        <v>288</v>
      </c>
      <c r="G80" s="199">
        <v>6</v>
      </c>
      <c r="H80" s="130">
        <v>129.0539</v>
      </c>
      <c r="I80" s="196">
        <f t="shared" si="4"/>
        <v>774.32339999999999</v>
      </c>
    </row>
    <row r="81" spans="2:13" hidden="1" x14ac:dyDescent="0.25">
      <c r="B81" s="25"/>
      <c r="C81" s="127"/>
      <c r="D81" s="150"/>
      <c r="E81" s="127"/>
      <c r="F81" s="1"/>
      <c r="G81" s="142"/>
      <c r="H81" s="28"/>
      <c r="I81" s="196">
        <f t="shared" si="4"/>
        <v>0</v>
      </c>
      <c r="M81" t="s">
        <v>285</v>
      </c>
    </row>
    <row r="82" spans="2:13" hidden="1" x14ac:dyDescent="0.25">
      <c r="B82" s="25"/>
      <c r="C82" s="127"/>
      <c r="D82" s="150"/>
      <c r="E82" s="127"/>
      <c r="F82" s="1"/>
      <c r="G82" s="142"/>
      <c r="H82" s="28"/>
      <c r="I82" s="196">
        <f t="shared" si="4"/>
        <v>0</v>
      </c>
    </row>
    <row r="83" spans="2:13" hidden="1" x14ac:dyDescent="0.25">
      <c r="B83" s="25"/>
      <c r="C83" s="127"/>
      <c r="D83" s="150"/>
      <c r="E83" s="127"/>
      <c r="F83" s="1"/>
      <c r="G83" s="142"/>
      <c r="H83" s="28"/>
      <c r="I83" s="196">
        <f t="shared" si="4"/>
        <v>0</v>
      </c>
    </row>
    <row r="84" spans="2:13" hidden="1" x14ac:dyDescent="0.25">
      <c r="B84" s="25"/>
      <c r="C84" s="127"/>
      <c r="D84" s="150"/>
      <c r="E84" s="127"/>
      <c r="F84" s="1"/>
      <c r="G84" s="142"/>
      <c r="H84" s="28"/>
      <c r="I84" s="196">
        <f t="shared" si="4"/>
        <v>0</v>
      </c>
    </row>
    <row r="85" spans="2:13" ht="15.75" hidden="1" thickBot="1" x14ac:dyDescent="0.3">
      <c r="B85" s="34"/>
      <c r="C85" s="197"/>
      <c r="D85" s="35"/>
      <c r="E85" s="36"/>
      <c r="F85" s="37"/>
      <c r="G85" s="143"/>
      <c r="H85" s="38"/>
      <c r="I85" s="198">
        <f t="shared" si="4"/>
        <v>0</v>
      </c>
    </row>
    <row r="86" spans="2:13" ht="15.75" thickBot="1" x14ac:dyDescent="0.3">
      <c r="B86" s="260" t="s">
        <v>184</v>
      </c>
      <c r="C86" s="261"/>
      <c r="D86" s="261"/>
      <c r="E86" s="261"/>
      <c r="F86" s="261"/>
      <c r="G86" s="261"/>
      <c r="H86" s="262"/>
      <c r="I86" s="40">
        <f>SUM(I75:I85)</f>
        <v>4104.8893459999999</v>
      </c>
    </row>
    <row r="87" spans="2:13" x14ac:dyDescent="0.25">
      <c r="B87" s="183"/>
      <c r="C87" s="160"/>
      <c r="D87" s="160"/>
      <c r="E87" s="160"/>
      <c r="F87" s="160"/>
      <c r="G87" s="160"/>
      <c r="H87" s="160"/>
      <c r="I87" s="161"/>
    </row>
    <row r="88" spans="2:13" x14ac:dyDescent="0.25">
      <c r="B88" s="183"/>
      <c r="C88" s="160"/>
      <c r="D88" s="160"/>
      <c r="E88" s="160"/>
      <c r="F88" s="160"/>
      <c r="G88" s="160"/>
      <c r="H88" s="160"/>
      <c r="I88" s="161"/>
    </row>
    <row r="89" spans="2:13" x14ac:dyDescent="0.25">
      <c r="B89" s="183"/>
      <c r="C89" s="160"/>
      <c r="D89" s="160"/>
      <c r="E89" s="103" t="s">
        <v>221</v>
      </c>
      <c r="F89" s="160"/>
      <c r="G89" s="160"/>
      <c r="H89" s="160"/>
      <c r="I89" s="161"/>
    </row>
    <row r="90" spans="2:13" x14ac:dyDescent="0.25">
      <c r="B90" s="183"/>
      <c r="C90" s="160"/>
      <c r="D90" s="160"/>
      <c r="E90" s="193" t="s">
        <v>222</v>
      </c>
      <c r="F90" s="160"/>
      <c r="G90" s="160"/>
      <c r="H90" s="160"/>
      <c r="I90" s="161"/>
    </row>
    <row r="91" spans="2:13" x14ac:dyDescent="0.25">
      <c r="B91" s="183"/>
      <c r="C91" s="160"/>
      <c r="D91" s="160"/>
      <c r="E91" s="103" t="s">
        <v>223</v>
      </c>
      <c r="F91" s="160"/>
      <c r="G91" s="160"/>
      <c r="H91" s="160"/>
      <c r="I91" s="161"/>
    </row>
    <row r="92" spans="2:13" x14ac:dyDescent="0.25">
      <c r="B92" s="183"/>
      <c r="C92" s="160"/>
      <c r="D92" s="160"/>
      <c r="E92" s="160"/>
      <c r="F92" s="160"/>
      <c r="G92" s="160"/>
      <c r="H92" s="160"/>
      <c r="I92" s="161"/>
    </row>
    <row r="93" spans="2:13" x14ac:dyDescent="0.25">
      <c r="B93" s="183"/>
      <c r="C93" s="160"/>
      <c r="D93" s="160"/>
      <c r="E93" s="160"/>
      <c r="F93" s="160"/>
      <c r="G93" s="160"/>
      <c r="H93" s="160"/>
      <c r="I93" s="161"/>
    </row>
    <row r="94" spans="2:13" ht="15.75" thickBot="1" x14ac:dyDescent="0.3">
      <c r="B94" s="184"/>
      <c r="C94" s="165"/>
      <c r="D94" s="165"/>
      <c r="E94" s="165"/>
      <c r="F94" s="165"/>
      <c r="G94" s="165"/>
      <c r="H94" s="165"/>
      <c r="I94" s="166"/>
    </row>
  </sheetData>
  <mergeCells count="23">
    <mergeCell ref="B42:I42"/>
    <mergeCell ref="B51:H51"/>
    <mergeCell ref="B31:H31"/>
    <mergeCell ref="B16:I16"/>
    <mergeCell ref="B39:H39"/>
    <mergeCell ref="B34:I34"/>
    <mergeCell ref="B10:I10"/>
    <mergeCell ref="B14:H14"/>
    <mergeCell ref="B21:H21"/>
    <mergeCell ref="B22:I22"/>
    <mergeCell ref="B25:I25"/>
    <mergeCell ref="B4:I5"/>
    <mergeCell ref="B6:I6"/>
    <mergeCell ref="B7:I7"/>
    <mergeCell ref="B8:I8"/>
    <mergeCell ref="B9:I9"/>
    <mergeCell ref="B86:H86"/>
    <mergeCell ref="B67:I68"/>
    <mergeCell ref="B69:I69"/>
    <mergeCell ref="B70:I70"/>
    <mergeCell ref="B71:I71"/>
    <mergeCell ref="B72:I72"/>
    <mergeCell ref="B73:I73"/>
  </mergeCells>
  <pageMargins left="0.511811024" right="0.511811024" top="0.78740157499999996" bottom="0.78740157499999996" header="0.31496062000000002" footer="0.31496062000000002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workbookViewId="0">
      <selection activeCell="K21" sqref="K21"/>
    </sheetView>
  </sheetViews>
  <sheetFormatPr defaultRowHeight="15" x14ac:dyDescent="0.25"/>
  <cols>
    <col min="2" max="2" width="27.28515625" customWidth="1"/>
    <col min="3" max="3" width="18.7109375" bestFit="1" customWidth="1"/>
    <col min="4" max="4" width="13.5703125" bestFit="1" customWidth="1"/>
    <col min="5" max="5" width="15" customWidth="1"/>
    <col min="6" max="6" width="14.85546875" customWidth="1"/>
    <col min="7" max="7" width="16" customWidth="1"/>
    <col min="8" max="8" width="14.42578125" customWidth="1"/>
    <col min="9" max="9" width="12.140625" bestFit="1" customWidth="1"/>
    <col min="10" max="10" width="13.28515625" bestFit="1" customWidth="1"/>
    <col min="11" max="12" width="12.140625" bestFit="1" customWidth="1"/>
  </cols>
  <sheetData>
    <row r="1" spans="1:13" ht="15.75" thickBot="1" x14ac:dyDescent="0.3">
      <c r="A1" s="298"/>
      <c r="B1" s="298"/>
      <c r="C1" s="298"/>
      <c r="D1" s="298"/>
      <c r="E1" s="298"/>
      <c r="F1" s="298"/>
      <c r="G1" s="298"/>
      <c r="H1" s="298"/>
    </row>
    <row r="2" spans="1:13" x14ac:dyDescent="0.25">
      <c r="A2" s="310" t="s">
        <v>126</v>
      </c>
      <c r="B2" s="311"/>
      <c r="C2" s="311"/>
      <c r="D2" s="311"/>
      <c r="E2" s="311"/>
      <c r="F2" s="311"/>
      <c r="G2" s="311"/>
      <c r="H2" s="312"/>
    </row>
    <row r="3" spans="1:13" ht="15.75" thickBot="1" x14ac:dyDescent="0.3">
      <c r="A3" s="313"/>
      <c r="B3" s="314"/>
      <c r="C3" s="314"/>
      <c r="D3" s="314"/>
      <c r="E3" s="314"/>
      <c r="F3" s="314"/>
      <c r="G3" s="314"/>
      <c r="H3" s="315"/>
    </row>
    <row r="4" spans="1:13" ht="15.75" thickBot="1" x14ac:dyDescent="0.3">
      <c r="A4" s="299" t="s">
        <v>164</v>
      </c>
      <c r="B4" s="300"/>
      <c r="C4" s="300"/>
      <c r="D4" s="301"/>
      <c r="E4" s="302" t="s">
        <v>214</v>
      </c>
      <c r="F4" s="303"/>
      <c r="G4" s="303"/>
      <c r="H4" s="304"/>
    </row>
    <row r="5" spans="1:13" ht="15.75" thickBot="1" x14ac:dyDescent="0.3">
      <c r="A5" s="299" t="s">
        <v>265</v>
      </c>
      <c r="B5" s="300"/>
      <c r="C5" s="300"/>
      <c r="D5" s="301"/>
      <c r="E5" s="302" t="s">
        <v>78</v>
      </c>
      <c r="F5" s="303"/>
      <c r="G5" s="303"/>
      <c r="H5" s="304"/>
    </row>
    <row r="6" spans="1:13" ht="15.75" thickBot="1" x14ac:dyDescent="0.3">
      <c r="A6" s="305" t="s">
        <v>165</v>
      </c>
      <c r="B6" s="306"/>
      <c r="C6" s="306"/>
      <c r="D6" s="307"/>
      <c r="E6" s="308" t="s">
        <v>127</v>
      </c>
      <c r="F6" s="309"/>
      <c r="G6" s="308" t="s">
        <v>80</v>
      </c>
      <c r="H6" s="309"/>
    </row>
    <row r="7" spans="1:13" ht="15.75" thickBot="1" x14ac:dyDescent="0.3">
      <c r="A7" s="295" t="str">
        <f>'PLAN. ORÇAMENTARIA'!A7:J7</f>
        <v>PONTE CÓRREGO DA JOANA</v>
      </c>
      <c r="B7" s="296"/>
      <c r="C7" s="296"/>
      <c r="D7" s="296"/>
      <c r="E7" s="296"/>
      <c r="F7" s="296"/>
      <c r="G7" s="296"/>
      <c r="H7" s="297"/>
      <c r="I7" s="152"/>
      <c r="J7" s="152"/>
      <c r="K7" s="152"/>
      <c r="L7" s="152"/>
      <c r="M7" s="153"/>
    </row>
    <row r="8" spans="1:13" ht="15.75" thickBot="1" x14ac:dyDescent="0.3">
      <c r="A8" s="6" t="s">
        <v>85</v>
      </c>
      <c r="B8" s="7" t="s">
        <v>128</v>
      </c>
      <c r="C8" s="8" t="s">
        <v>129</v>
      </c>
      <c r="D8" s="7" t="s">
        <v>130</v>
      </c>
      <c r="E8" s="7" t="s">
        <v>131</v>
      </c>
      <c r="F8" s="7" t="s">
        <v>132</v>
      </c>
      <c r="G8" s="7" t="s">
        <v>133</v>
      </c>
      <c r="H8" s="7" t="s">
        <v>134</v>
      </c>
      <c r="I8" s="154"/>
      <c r="J8" s="154"/>
      <c r="K8" s="154"/>
      <c r="L8" s="154"/>
      <c r="M8" s="153"/>
    </row>
    <row r="9" spans="1:13" ht="15" hidden="1" customHeight="1" x14ac:dyDescent="0.25">
      <c r="A9" s="316">
        <v>1</v>
      </c>
      <c r="B9" s="318" t="s">
        <v>94</v>
      </c>
      <c r="C9" s="9" t="s">
        <v>135</v>
      </c>
      <c r="D9" s="10">
        <v>1</v>
      </c>
      <c r="E9" s="10">
        <v>0.25</v>
      </c>
      <c r="F9" s="10">
        <v>0.25</v>
      </c>
      <c r="G9" s="10">
        <v>0.25</v>
      </c>
      <c r="H9" s="10">
        <v>0.25</v>
      </c>
      <c r="I9" s="153"/>
      <c r="J9" s="153"/>
      <c r="K9" s="153"/>
      <c r="L9" s="153"/>
      <c r="M9" s="153"/>
    </row>
    <row r="10" spans="1:13" ht="15.75" hidden="1" thickBot="1" x14ac:dyDescent="0.3">
      <c r="A10" s="317"/>
      <c r="B10" s="319"/>
      <c r="C10" s="11" t="s">
        <v>136</v>
      </c>
      <c r="D10" s="75">
        <f>'PLAN. ORÇAMENTARIA'!J11</f>
        <v>0</v>
      </c>
      <c r="E10" s="75">
        <f>$D$10*E9</f>
        <v>0</v>
      </c>
      <c r="F10" s="75">
        <f t="shared" ref="F10:H10" si="0">$D$10*F9</f>
        <v>0</v>
      </c>
      <c r="G10" s="75">
        <f t="shared" si="0"/>
        <v>0</v>
      </c>
      <c r="H10" s="75">
        <f t="shared" si="0"/>
        <v>0</v>
      </c>
      <c r="I10" s="153"/>
      <c r="J10" s="153"/>
      <c r="K10" s="153"/>
      <c r="L10" s="153"/>
      <c r="M10" s="153"/>
    </row>
    <row r="11" spans="1:13" x14ac:dyDescent="0.25">
      <c r="A11" s="316">
        <v>1</v>
      </c>
      <c r="B11" s="318" t="s">
        <v>137</v>
      </c>
      <c r="C11" s="9" t="s">
        <v>135</v>
      </c>
      <c r="D11" s="10">
        <v>1</v>
      </c>
      <c r="E11" s="214">
        <v>0.1008</v>
      </c>
      <c r="F11" s="214">
        <v>8.72E-2</v>
      </c>
      <c r="G11" s="214">
        <v>0.33029999999999998</v>
      </c>
      <c r="H11" s="214">
        <v>0.48170000000000002</v>
      </c>
      <c r="I11" s="153"/>
      <c r="J11" s="215"/>
      <c r="K11" s="153"/>
      <c r="L11" s="153"/>
      <c r="M11" s="153"/>
    </row>
    <row r="12" spans="1:13" ht="15.75" thickBot="1" x14ac:dyDescent="0.3">
      <c r="A12" s="317"/>
      <c r="B12" s="319"/>
      <c r="C12" s="11" t="s">
        <v>136</v>
      </c>
      <c r="D12" s="75">
        <f>'PLAN. ORÇAMENTARIA'!J13</f>
        <v>85268.96</v>
      </c>
      <c r="E12" s="75">
        <f>$D$12*E11</f>
        <v>8595.1111680000013</v>
      </c>
      <c r="F12" s="75">
        <f t="shared" ref="F12:G12" si="1">$D$12*F11</f>
        <v>7435.4533120000006</v>
      </c>
      <c r="G12" s="75">
        <f t="shared" si="1"/>
        <v>28164.337488000001</v>
      </c>
      <c r="H12" s="75">
        <f>$D$12*H11</f>
        <v>41074.058032000008</v>
      </c>
      <c r="I12" s="153"/>
      <c r="J12" s="216"/>
      <c r="K12" s="153"/>
      <c r="L12" s="153"/>
      <c r="M12" s="153"/>
    </row>
    <row r="13" spans="1:13" x14ac:dyDescent="0.25">
      <c r="A13" s="316">
        <v>2</v>
      </c>
      <c r="B13" s="318" t="str">
        <f>'PLAN. ORÇAMENTARIA'!D15</f>
        <v>INSTALAÇÕES CANTEIRO DE OBRA</v>
      </c>
      <c r="C13" s="9" t="s">
        <v>135</v>
      </c>
      <c r="D13" s="10">
        <v>1</v>
      </c>
      <c r="E13" s="10">
        <v>1</v>
      </c>
      <c r="F13" s="10">
        <v>0</v>
      </c>
      <c r="G13" s="10">
        <v>0</v>
      </c>
      <c r="H13" s="10">
        <v>0</v>
      </c>
      <c r="I13" s="153"/>
      <c r="J13" s="153"/>
      <c r="K13" s="215"/>
      <c r="L13" s="153"/>
      <c r="M13" s="153"/>
    </row>
    <row r="14" spans="1:13" ht="15.75" thickBot="1" x14ac:dyDescent="0.3">
      <c r="A14" s="317"/>
      <c r="B14" s="319"/>
      <c r="C14" s="11" t="s">
        <v>136</v>
      </c>
      <c r="D14" s="75">
        <f>'PLAN. ORÇAMENTARIA'!J15</f>
        <v>14990.6369</v>
      </c>
      <c r="E14" s="75">
        <f>D14*E13</f>
        <v>14990.6369</v>
      </c>
      <c r="F14" s="75">
        <f t="shared" ref="F14:H14" si="2">E14*F13</f>
        <v>0</v>
      </c>
      <c r="G14" s="75">
        <f t="shared" si="2"/>
        <v>0</v>
      </c>
      <c r="H14" s="75">
        <f t="shared" si="2"/>
        <v>0</v>
      </c>
      <c r="I14" s="153"/>
      <c r="J14" s="153"/>
      <c r="K14" s="153"/>
      <c r="L14" s="153"/>
      <c r="M14" s="153"/>
    </row>
    <row r="15" spans="1:13" x14ac:dyDescent="0.25">
      <c r="A15" s="316">
        <v>3</v>
      </c>
      <c r="B15" s="318" t="s">
        <v>106</v>
      </c>
      <c r="C15" s="9" t="s">
        <v>135</v>
      </c>
      <c r="D15" s="10">
        <v>1</v>
      </c>
      <c r="E15" s="10">
        <v>0.25</v>
      </c>
      <c r="F15" s="10">
        <v>0.25</v>
      </c>
      <c r="G15" s="10">
        <v>0.25</v>
      </c>
      <c r="H15" s="10">
        <v>0.25</v>
      </c>
      <c r="I15" s="153"/>
      <c r="J15" s="153"/>
      <c r="K15" s="153"/>
      <c r="L15" s="153"/>
      <c r="M15" s="153"/>
    </row>
    <row r="16" spans="1:13" ht="15.75" thickBot="1" x14ac:dyDescent="0.3">
      <c r="A16" s="317"/>
      <c r="B16" s="319"/>
      <c r="C16" s="11" t="s">
        <v>136</v>
      </c>
      <c r="D16" s="75">
        <f>'PLAN. ORÇAMENTARIA'!J22</f>
        <v>39581.440000000002</v>
      </c>
      <c r="E16" s="75">
        <f>$D$16*E15</f>
        <v>9895.36</v>
      </c>
      <c r="F16" s="75">
        <f t="shared" ref="F16:H16" si="3">$D$16*F15</f>
        <v>9895.36</v>
      </c>
      <c r="G16" s="75">
        <f t="shared" si="3"/>
        <v>9895.36</v>
      </c>
      <c r="H16" s="75">
        <f t="shared" si="3"/>
        <v>9895.36</v>
      </c>
      <c r="I16" s="153"/>
      <c r="J16" s="153"/>
      <c r="K16" s="153"/>
      <c r="L16" s="153"/>
      <c r="M16" s="153"/>
    </row>
    <row r="17" spans="1:13" x14ac:dyDescent="0.25">
      <c r="A17" s="316">
        <v>4</v>
      </c>
      <c r="B17" s="320" t="s">
        <v>110</v>
      </c>
      <c r="C17" s="12" t="s">
        <v>135</v>
      </c>
      <c r="D17" s="13">
        <v>1</v>
      </c>
      <c r="E17" s="13">
        <v>0.5</v>
      </c>
      <c r="F17" s="13">
        <v>0.5</v>
      </c>
      <c r="G17" s="13">
        <v>0</v>
      </c>
      <c r="H17" s="13">
        <v>0</v>
      </c>
      <c r="I17" s="153"/>
      <c r="J17" s="153"/>
      <c r="K17" s="153"/>
      <c r="L17" s="153"/>
      <c r="M17" s="153"/>
    </row>
    <row r="18" spans="1:13" ht="15.75" thickBot="1" x14ac:dyDescent="0.3">
      <c r="A18" s="317"/>
      <c r="B18" s="319"/>
      <c r="C18" s="14" t="s">
        <v>136</v>
      </c>
      <c r="D18" s="76">
        <f>'PLAN. ORÇAMENTARIA'!J25</f>
        <v>108513.52</v>
      </c>
      <c r="E18" s="75">
        <f>$D$18*E17</f>
        <v>54256.76</v>
      </c>
      <c r="F18" s="75">
        <f t="shared" ref="F18:H18" si="4">$D$18*F17</f>
        <v>54256.76</v>
      </c>
      <c r="G18" s="75">
        <f t="shared" si="4"/>
        <v>0</v>
      </c>
      <c r="H18" s="75">
        <f t="shared" si="4"/>
        <v>0</v>
      </c>
      <c r="I18" s="153"/>
      <c r="J18" s="153"/>
      <c r="K18" s="153"/>
      <c r="L18" s="153"/>
      <c r="M18" s="153"/>
    </row>
    <row r="19" spans="1:13" x14ac:dyDescent="0.25">
      <c r="A19" s="316">
        <v>5</v>
      </c>
      <c r="B19" s="318" t="s">
        <v>138</v>
      </c>
      <c r="C19" s="9" t="s">
        <v>135</v>
      </c>
      <c r="D19" s="10">
        <v>1</v>
      </c>
      <c r="E19" s="10">
        <v>0</v>
      </c>
      <c r="F19" s="10">
        <v>0</v>
      </c>
      <c r="G19" s="10">
        <v>0.5</v>
      </c>
      <c r="H19" s="10">
        <v>0.5</v>
      </c>
      <c r="I19" s="153"/>
      <c r="J19" s="153"/>
      <c r="K19" s="153"/>
      <c r="L19" s="153"/>
      <c r="M19" s="153"/>
    </row>
    <row r="20" spans="1:13" ht="15.75" thickBot="1" x14ac:dyDescent="0.3">
      <c r="A20" s="317"/>
      <c r="B20" s="319"/>
      <c r="C20" s="11" t="s">
        <v>136</v>
      </c>
      <c r="D20" s="75">
        <f>'PLAN. ORÇAMENTARIA'!J35</f>
        <v>709924.85</v>
      </c>
      <c r="E20" s="75">
        <f>$D$20*E19</f>
        <v>0</v>
      </c>
      <c r="F20" s="75">
        <f t="shared" ref="F20:H20" si="5">$D$20*F19</f>
        <v>0</v>
      </c>
      <c r="G20" s="75">
        <f t="shared" si="5"/>
        <v>354962.42499999999</v>
      </c>
      <c r="H20" s="75">
        <f t="shared" si="5"/>
        <v>354962.42499999999</v>
      </c>
      <c r="I20" s="153"/>
      <c r="J20" s="153"/>
      <c r="K20" s="153"/>
      <c r="L20" s="153"/>
      <c r="M20" s="153"/>
    </row>
    <row r="21" spans="1:13" x14ac:dyDescent="0.25">
      <c r="A21" s="316">
        <v>6</v>
      </c>
      <c r="B21" s="318" t="s">
        <v>139</v>
      </c>
      <c r="C21" s="9" t="s">
        <v>135</v>
      </c>
      <c r="D21" s="10">
        <v>1</v>
      </c>
      <c r="E21" s="10">
        <v>0</v>
      </c>
      <c r="F21" s="10">
        <v>0</v>
      </c>
      <c r="G21" s="10">
        <v>0</v>
      </c>
      <c r="H21" s="10">
        <v>1</v>
      </c>
      <c r="I21" s="153"/>
      <c r="J21" s="153"/>
      <c r="K21" s="153"/>
      <c r="L21" s="153"/>
      <c r="M21" s="153"/>
    </row>
    <row r="22" spans="1:13" ht="15.75" thickBot="1" x14ac:dyDescent="0.3">
      <c r="A22" s="317"/>
      <c r="B22" s="319"/>
      <c r="C22" s="11" t="s">
        <v>136</v>
      </c>
      <c r="D22" s="75">
        <f>'PLAN. ORÇAMENTARIA'!J43</f>
        <v>160323.005</v>
      </c>
      <c r="E22" s="75">
        <f>$D$22*E21</f>
        <v>0</v>
      </c>
      <c r="F22" s="75">
        <f t="shared" ref="F22:H22" si="6">$D$22*F21</f>
        <v>0</v>
      </c>
      <c r="G22" s="75">
        <f t="shared" si="6"/>
        <v>0</v>
      </c>
      <c r="H22" s="75">
        <f t="shared" si="6"/>
        <v>160323.005</v>
      </c>
      <c r="I22" s="153"/>
      <c r="J22" s="153"/>
      <c r="K22" s="153"/>
      <c r="L22" s="153"/>
      <c r="M22" s="153"/>
    </row>
    <row r="23" spans="1:13" x14ac:dyDescent="0.25">
      <c r="A23" s="316">
        <v>7</v>
      </c>
      <c r="B23" s="318" t="s">
        <v>295</v>
      </c>
      <c r="C23" s="9" t="s">
        <v>135</v>
      </c>
      <c r="D23" s="212">
        <v>1</v>
      </c>
      <c r="E23" s="212">
        <v>0.25</v>
      </c>
      <c r="F23" s="212">
        <v>0.25</v>
      </c>
      <c r="G23" s="212">
        <v>0.25</v>
      </c>
      <c r="H23" s="212">
        <v>0.25</v>
      </c>
      <c r="I23" s="153"/>
      <c r="J23" s="153"/>
      <c r="K23" s="153"/>
      <c r="L23" s="153"/>
      <c r="M23" s="153"/>
    </row>
    <row r="24" spans="1:13" ht="15.75" thickBot="1" x14ac:dyDescent="0.3">
      <c r="A24" s="317"/>
      <c r="B24" s="319"/>
      <c r="C24" s="11" t="s">
        <v>136</v>
      </c>
      <c r="D24" s="75">
        <f>'PLAN. ORÇAMENTARIA'!J47</f>
        <v>5120.4399999999996</v>
      </c>
      <c r="E24" s="75">
        <f>$D$24*E23</f>
        <v>1280.1099999999999</v>
      </c>
      <c r="F24" s="75">
        <f t="shared" ref="F24:H24" si="7">$D$24*F23</f>
        <v>1280.1099999999999</v>
      </c>
      <c r="G24" s="75">
        <f t="shared" si="7"/>
        <v>1280.1099999999999</v>
      </c>
      <c r="H24" s="75">
        <f t="shared" si="7"/>
        <v>1280.1099999999999</v>
      </c>
      <c r="I24" s="153"/>
      <c r="J24" s="153"/>
      <c r="K24" s="153"/>
      <c r="L24" s="153"/>
      <c r="M24" s="153"/>
    </row>
    <row r="25" spans="1:13" x14ac:dyDescent="0.25">
      <c r="A25" s="324" t="s">
        <v>184</v>
      </c>
      <c r="B25" s="325"/>
      <c r="C25" s="336" t="s">
        <v>312</v>
      </c>
      <c r="D25" s="330">
        <v>1</v>
      </c>
      <c r="E25" s="337">
        <f>E27/$D$27</f>
        <v>7.9217022166531245E-2</v>
      </c>
      <c r="F25" s="337">
        <f t="shared" ref="F25:H25" si="8">F27/$D$27</f>
        <v>6.484488874529401E-2</v>
      </c>
      <c r="G25" s="337">
        <f t="shared" si="8"/>
        <v>0.35088921776513698</v>
      </c>
      <c r="H25" s="337">
        <f t="shared" si="8"/>
        <v>0.50504887132303755</v>
      </c>
      <c r="I25" s="153"/>
      <c r="J25" s="153"/>
      <c r="K25" s="153"/>
      <c r="L25" s="153"/>
      <c r="M25" s="153"/>
    </row>
    <row r="26" spans="1:13" ht="15.75" thickBot="1" x14ac:dyDescent="0.3">
      <c r="A26" s="326"/>
      <c r="B26" s="327"/>
      <c r="C26" s="331"/>
      <c r="D26" s="331"/>
      <c r="E26" s="338"/>
      <c r="F26" s="338"/>
      <c r="G26" s="338"/>
      <c r="H26" s="338"/>
      <c r="I26" s="153"/>
      <c r="J26" s="153"/>
      <c r="K26" s="153"/>
      <c r="L26" s="153"/>
      <c r="M26" s="153"/>
    </row>
    <row r="27" spans="1:13" x14ac:dyDescent="0.25">
      <c r="A27" s="326"/>
      <c r="B27" s="327"/>
      <c r="C27" s="336" t="s">
        <v>313</v>
      </c>
      <c r="D27" s="332">
        <f>D12+D14+D16+D18+D20+D22+D24</f>
        <v>1123722.8519000001</v>
      </c>
      <c r="E27" s="334">
        <f>E12+E14+E16+E18+E20+E22+E24</f>
        <v>89017.978068000011</v>
      </c>
      <c r="F27" s="334">
        <f t="shared" ref="F27:H27" si="9">F12+F14+F16+F18+F20+F22+F24</f>
        <v>72867.683312000008</v>
      </c>
      <c r="G27" s="334">
        <f t="shared" si="9"/>
        <v>394302.23248799995</v>
      </c>
      <c r="H27" s="334">
        <f t="shared" si="9"/>
        <v>567534.958032</v>
      </c>
      <c r="I27" s="153"/>
      <c r="J27" s="153"/>
      <c r="K27" s="153"/>
      <c r="L27" s="153"/>
      <c r="M27" s="153"/>
    </row>
    <row r="28" spans="1:13" ht="15.75" thickBot="1" x14ac:dyDescent="0.3">
      <c r="A28" s="328"/>
      <c r="B28" s="329"/>
      <c r="C28" s="331"/>
      <c r="D28" s="333"/>
      <c r="E28" s="335"/>
      <c r="F28" s="335"/>
      <c r="G28" s="335"/>
      <c r="H28" s="335"/>
      <c r="I28" s="153"/>
      <c r="J28" s="153"/>
      <c r="K28" s="153"/>
      <c r="L28" s="153"/>
      <c r="M28" s="153"/>
    </row>
    <row r="29" spans="1:13" x14ac:dyDescent="0.25">
      <c r="A29" s="324" t="s">
        <v>314</v>
      </c>
      <c r="B29" s="325"/>
      <c r="C29" s="336" t="s">
        <v>140</v>
      </c>
      <c r="D29" s="330">
        <v>1</v>
      </c>
      <c r="E29" s="322">
        <f>E31/$D$27</f>
        <v>7.9217022166531245E-2</v>
      </c>
      <c r="F29" s="322">
        <f t="shared" ref="F29:H29" si="10">F31/$D$27</f>
        <v>0.14406191091182524</v>
      </c>
      <c r="G29" s="322">
        <f t="shared" si="10"/>
        <v>0.49495112867696217</v>
      </c>
      <c r="H29" s="322">
        <f t="shared" si="10"/>
        <v>0.99999999999999978</v>
      </c>
      <c r="I29" s="153"/>
      <c r="J29" s="153"/>
      <c r="K29" s="153"/>
      <c r="L29" s="153"/>
      <c r="M29" s="153"/>
    </row>
    <row r="30" spans="1:13" ht="15.75" thickBot="1" x14ac:dyDescent="0.3">
      <c r="A30" s="326"/>
      <c r="B30" s="327"/>
      <c r="C30" s="331"/>
      <c r="D30" s="331"/>
      <c r="E30" s="323"/>
      <c r="F30" s="323"/>
      <c r="G30" s="323"/>
      <c r="H30" s="323"/>
      <c r="I30" s="153"/>
      <c r="J30" s="153"/>
      <c r="K30" s="153"/>
      <c r="L30" s="153"/>
      <c r="M30" s="153"/>
    </row>
    <row r="31" spans="1:13" x14ac:dyDescent="0.25">
      <c r="A31" s="326"/>
      <c r="B31" s="327"/>
      <c r="C31" s="336" t="s">
        <v>141</v>
      </c>
      <c r="D31" s="332">
        <v>0</v>
      </c>
      <c r="E31" s="332">
        <f>E10+E12+E14+E16+E18+E20+E22+E24</f>
        <v>89017.978068000011</v>
      </c>
      <c r="F31" s="332">
        <f>F10+F12+F14+F16+F18+F20+F22+E31+F24</f>
        <v>161885.66138000001</v>
      </c>
      <c r="G31" s="332">
        <f>G10+G12+G14+G16+G18+G20+G22+F31+G24</f>
        <v>556187.8938679999</v>
      </c>
      <c r="H31" s="332">
        <f>H10+H12+H14+H16+H18+H20+H22+G31+H24</f>
        <v>1123722.8518999999</v>
      </c>
      <c r="I31" s="321"/>
      <c r="J31" s="321"/>
      <c r="K31" s="321"/>
      <c r="L31" s="321"/>
      <c r="M31" s="153"/>
    </row>
    <row r="32" spans="1:13" ht="15.75" thickBot="1" x14ac:dyDescent="0.3">
      <c r="A32" s="328"/>
      <c r="B32" s="329"/>
      <c r="C32" s="331"/>
      <c r="D32" s="333"/>
      <c r="E32" s="333"/>
      <c r="F32" s="333"/>
      <c r="G32" s="333"/>
      <c r="H32" s="333"/>
      <c r="I32" s="321"/>
      <c r="J32" s="321"/>
      <c r="K32" s="321"/>
      <c r="L32" s="321"/>
      <c r="M32" s="153"/>
    </row>
    <row r="33" spans="1:8" x14ac:dyDescent="0.25">
      <c r="A33" s="183"/>
      <c r="B33" s="160"/>
      <c r="C33" s="160"/>
      <c r="D33" s="160"/>
      <c r="E33" s="160"/>
      <c r="F33" s="160"/>
      <c r="G33" s="160"/>
      <c r="H33" s="161"/>
    </row>
    <row r="34" spans="1:8" x14ac:dyDescent="0.25">
      <c r="A34" s="183"/>
      <c r="B34" s="160"/>
      <c r="C34" s="160"/>
      <c r="D34" s="160"/>
      <c r="E34" s="160"/>
      <c r="F34" s="160"/>
      <c r="G34" s="160"/>
      <c r="H34" s="161"/>
    </row>
    <row r="35" spans="1:8" x14ac:dyDescent="0.25">
      <c r="A35" s="183"/>
      <c r="B35" s="160"/>
      <c r="C35" s="160"/>
      <c r="D35" s="160"/>
      <c r="E35" s="160"/>
      <c r="F35" s="160"/>
      <c r="G35" s="160"/>
      <c r="H35" s="161"/>
    </row>
    <row r="36" spans="1:8" ht="25.5" customHeight="1" x14ac:dyDescent="0.25">
      <c r="A36" s="183"/>
      <c r="B36" s="293" t="s">
        <v>221</v>
      </c>
      <c r="C36" s="293"/>
      <c r="D36" s="293"/>
      <c r="E36" s="160"/>
      <c r="F36" s="160"/>
      <c r="G36" s="160"/>
      <c r="H36" s="161"/>
    </row>
    <row r="37" spans="1:8" x14ac:dyDescent="0.25">
      <c r="A37" s="183"/>
      <c r="B37" s="294" t="s">
        <v>222</v>
      </c>
      <c r="C37" s="294"/>
      <c r="D37" s="160"/>
      <c r="E37" s="160"/>
      <c r="F37" s="160"/>
      <c r="G37" s="160"/>
      <c r="H37" s="161"/>
    </row>
    <row r="38" spans="1:8" x14ac:dyDescent="0.25">
      <c r="A38" s="183"/>
      <c r="B38" s="293" t="s">
        <v>223</v>
      </c>
      <c r="C38" s="293"/>
      <c r="D38" s="160"/>
      <c r="E38" s="160"/>
      <c r="F38" s="160"/>
      <c r="G38" s="160"/>
      <c r="H38" s="161"/>
    </row>
    <row r="39" spans="1:8" ht="15.75" thickBot="1" x14ac:dyDescent="0.3">
      <c r="A39" s="184"/>
      <c r="B39" s="165"/>
      <c r="C39" s="165"/>
      <c r="D39" s="165"/>
      <c r="E39" s="165"/>
      <c r="F39" s="165"/>
      <c r="G39" s="165"/>
      <c r="H39" s="166"/>
    </row>
  </sheetData>
  <mergeCells count="59">
    <mergeCell ref="C27:C28"/>
    <mergeCell ref="E25:E26"/>
    <mergeCell ref="F25:F26"/>
    <mergeCell ref="G25:G26"/>
    <mergeCell ref="H25:H26"/>
    <mergeCell ref="C25:C26"/>
    <mergeCell ref="K31:K32"/>
    <mergeCell ref="L31:L32"/>
    <mergeCell ref="A21:A22"/>
    <mergeCell ref="B21:B22"/>
    <mergeCell ref="A29:B32"/>
    <mergeCell ref="C31:C32"/>
    <mergeCell ref="D31:D32"/>
    <mergeCell ref="E31:E32"/>
    <mergeCell ref="F31:F32"/>
    <mergeCell ref="G31:G32"/>
    <mergeCell ref="H31:H32"/>
    <mergeCell ref="C29:C30"/>
    <mergeCell ref="D29:D30"/>
    <mergeCell ref="E29:E30"/>
    <mergeCell ref="F29:F30"/>
    <mergeCell ref="G29:G30"/>
    <mergeCell ref="A17:A18"/>
    <mergeCell ref="B17:B18"/>
    <mergeCell ref="A19:A20"/>
    <mergeCell ref="B19:B20"/>
    <mergeCell ref="J31:J32"/>
    <mergeCell ref="H29:H30"/>
    <mergeCell ref="I31:I32"/>
    <mergeCell ref="A23:A24"/>
    <mergeCell ref="B23:B24"/>
    <mergeCell ref="A25:B28"/>
    <mergeCell ref="D25:D26"/>
    <mergeCell ref="D27:D28"/>
    <mergeCell ref="E27:E28"/>
    <mergeCell ref="F27:F28"/>
    <mergeCell ref="G27:G28"/>
    <mergeCell ref="H27:H28"/>
    <mergeCell ref="B9:B10"/>
    <mergeCell ref="A11:A12"/>
    <mergeCell ref="B11:B12"/>
    <mergeCell ref="A15:A16"/>
    <mergeCell ref="B15:B16"/>
    <mergeCell ref="B36:D36"/>
    <mergeCell ref="B37:C37"/>
    <mergeCell ref="B38:C38"/>
    <mergeCell ref="A7:H7"/>
    <mergeCell ref="A1:H1"/>
    <mergeCell ref="A4:D4"/>
    <mergeCell ref="E4:H4"/>
    <mergeCell ref="A5:D5"/>
    <mergeCell ref="A6:D6"/>
    <mergeCell ref="E5:H5"/>
    <mergeCell ref="E6:F6"/>
    <mergeCell ref="G6:H6"/>
    <mergeCell ref="A2:H3"/>
    <mergeCell ref="A13:A14"/>
    <mergeCell ref="B13:B14"/>
    <mergeCell ref="A9:A10"/>
  </mergeCells>
  <pageMargins left="0.511811024" right="0.511811024" top="0.78740157499999996" bottom="0.78740157499999996" header="0.31496062000000002" footer="0.31496062000000002"/>
  <pageSetup paperSize="9" scale="88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6"/>
  <sheetViews>
    <sheetView workbookViewId="0">
      <selection activeCell="G10" sqref="G10"/>
    </sheetView>
  </sheetViews>
  <sheetFormatPr defaultRowHeight="15" x14ac:dyDescent="0.25"/>
  <cols>
    <col min="1" max="1" width="37.28515625" customWidth="1"/>
    <col min="2" max="2" width="31.5703125" customWidth="1"/>
    <col min="3" max="3" width="25.28515625" customWidth="1"/>
  </cols>
  <sheetData>
    <row r="1" spans="1:3" ht="15.75" thickBot="1" x14ac:dyDescent="0.3">
      <c r="A1" s="343" t="s">
        <v>142</v>
      </c>
      <c r="B1" s="343"/>
      <c r="C1" s="343"/>
    </row>
    <row r="2" spans="1:3" ht="15.75" thickBot="1" x14ac:dyDescent="0.3">
      <c r="A2" s="344" t="s">
        <v>120</v>
      </c>
      <c r="B2" s="345"/>
      <c r="C2" s="346"/>
    </row>
    <row r="3" spans="1:3" ht="15.75" thickBot="1" x14ac:dyDescent="0.3">
      <c r="A3" s="344" t="s">
        <v>265</v>
      </c>
      <c r="B3" s="345"/>
      <c r="C3" s="346"/>
    </row>
    <row r="4" spans="1:3" ht="15.75" thickBot="1" x14ac:dyDescent="0.3">
      <c r="A4" s="344" t="s">
        <v>143</v>
      </c>
      <c r="B4" s="345"/>
      <c r="C4" s="346"/>
    </row>
    <row r="5" spans="1:3" ht="15.75" thickBot="1" x14ac:dyDescent="0.3">
      <c r="A5" s="3" t="s">
        <v>144</v>
      </c>
      <c r="B5" s="3" t="s">
        <v>145</v>
      </c>
      <c r="C5" s="3" t="s">
        <v>146</v>
      </c>
    </row>
    <row r="6" spans="1:3" ht="15.75" thickBot="1" x14ac:dyDescent="0.3">
      <c r="A6" s="15" t="s">
        <v>147</v>
      </c>
      <c r="B6" s="4" t="s">
        <v>148</v>
      </c>
      <c r="C6" s="194">
        <v>3.7999999999999999E-2</v>
      </c>
    </row>
    <row r="7" spans="1:3" ht="15.75" thickBot="1" x14ac:dyDescent="0.3">
      <c r="A7" s="15" t="s">
        <v>149</v>
      </c>
      <c r="B7" s="4" t="s">
        <v>150</v>
      </c>
      <c r="C7" s="194">
        <v>3.2000000000000002E-3</v>
      </c>
    </row>
    <row r="8" spans="1:3" ht="15.75" thickBot="1" x14ac:dyDescent="0.3">
      <c r="A8" s="15" t="s">
        <v>151</v>
      </c>
      <c r="B8" s="4" t="s">
        <v>152</v>
      </c>
      <c r="C8" s="194">
        <v>5.0000000000000001E-3</v>
      </c>
    </row>
    <row r="9" spans="1:3" ht="15.75" thickBot="1" x14ac:dyDescent="0.3">
      <c r="A9" s="15" t="s">
        <v>153</v>
      </c>
      <c r="B9" s="4" t="s">
        <v>154</v>
      </c>
      <c r="C9" s="194">
        <v>1.0200000000000001E-2</v>
      </c>
    </row>
    <row r="10" spans="1:3" ht="15.75" thickBot="1" x14ac:dyDescent="0.3">
      <c r="A10" s="15" t="s">
        <v>155</v>
      </c>
      <c r="B10" s="4" t="s">
        <v>156</v>
      </c>
      <c r="C10" s="194">
        <v>6.6400000000000001E-2</v>
      </c>
    </row>
    <row r="11" spans="1:3" ht="15.75" thickBot="1" x14ac:dyDescent="0.3">
      <c r="A11" s="15" t="s">
        <v>157</v>
      </c>
      <c r="B11" s="4" t="s">
        <v>158</v>
      </c>
      <c r="C11" s="194">
        <v>6.4999999999999997E-3</v>
      </c>
    </row>
    <row r="12" spans="1:3" ht="15.75" thickBot="1" x14ac:dyDescent="0.3">
      <c r="A12" s="15" t="s">
        <v>159</v>
      </c>
      <c r="B12" s="4" t="s">
        <v>158</v>
      </c>
      <c r="C12" s="194">
        <v>0.03</v>
      </c>
    </row>
    <row r="13" spans="1:3" ht="15.75" thickBot="1" x14ac:dyDescent="0.3">
      <c r="A13" s="5" t="s">
        <v>160</v>
      </c>
      <c r="B13" s="4"/>
      <c r="C13" s="194">
        <v>1.4999999999999999E-2</v>
      </c>
    </row>
    <row r="14" spans="1:3" ht="15.75" thickBot="1" x14ac:dyDescent="0.3">
      <c r="A14" s="5" t="s">
        <v>161</v>
      </c>
      <c r="B14" s="2"/>
      <c r="C14" s="16">
        <v>0.24740000000000001</v>
      </c>
    </row>
    <row r="15" spans="1:3" x14ac:dyDescent="0.25">
      <c r="A15" s="17"/>
      <c r="B15" s="187"/>
      <c r="C15" s="18"/>
    </row>
    <row r="16" spans="1:3" x14ac:dyDescent="0.25">
      <c r="A16" s="347" t="s">
        <v>162</v>
      </c>
      <c r="B16" s="348"/>
      <c r="C16" s="349"/>
    </row>
    <row r="17" spans="1:3" x14ac:dyDescent="0.25">
      <c r="A17" s="347" t="s">
        <v>163</v>
      </c>
      <c r="B17" s="348"/>
      <c r="C17" s="349"/>
    </row>
    <row r="18" spans="1:3" ht="15.75" thickBot="1" x14ac:dyDescent="0.3">
      <c r="A18" s="17"/>
      <c r="B18" s="187"/>
      <c r="C18" s="18"/>
    </row>
    <row r="19" spans="1:3" ht="37.5" customHeight="1" thickBot="1" x14ac:dyDescent="0.3">
      <c r="A19" s="340" t="s">
        <v>172</v>
      </c>
      <c r="B19" s="341"/>
      <c r="C19" s="342"/>
    </row>
    <row r="20" spans="1:3" x14ac:dyDescent="0.25">
      <c r="A20" s="183"/>
      <c r="B20" s="160"/>
      <c r="C20" s="161"/>
    </row>
    <row r="21" spans="1:3" x14ac:dyDescent="0.25">
      <c r="A21" s="183"/>
      <c r="B21" s="160"/>
      <c r="C21" s="161"/>
    </row>
    <row r="22" spans="1:3" x14ac:dyDescent="0.25">
      <c r="A22" s="183"/>
      <c r="B22" s="160"/>
      <c r="C22" s="161"/>
    </row>
    <row r="23" spans="1:3" ht="25.5" customHeight="1" x14ac:dyDescent="0.25">
      <c r="A23" s="339" t="s">
        <v>221</v>
      </c>
      <c r="B23" s="293"/>
      <c r="C23" s="161"/>
    </row>
    <row r="24" spans="1:3" x14ac:dyDescent="0.25">
      <c r="A24" s="188" t="s">
        <v>222</v>
      </c>
      <c r="B24" s="189"/>
      <c r="C24" s="161"/>
    </row>
    <row r="25" spans="1:3" ht="25.5" customHeight="1" x14ac:dyDescent="0.25">
      <c r="A25" s="339" t="s">
        <v>223</v>
      </c>
      <c r="B25" s="293"/>
      <c r="C25" s="161"/>
    </row>
    <row r="26" spans="1:3" ht="15.75" thickBot="1" x14ac:dyDescent="0.3">
      <c r="A26" s="184"/>
      <c r="B26" s="165"/>
      <c r="C26" s="166"/>
    </row>
  </sheetData>
  <mergeCells count="9">
    <mergeCell ref="A23:B23"/>
    <mergeCell ref="A25:B25"/>
    <mergeCell ref="A19:C19"/>
    <mergeCell ref="A1:C1"/>
    <mergeCell ref="A2:C2"/>
    <mergeCell ref="A3:C3"/>
    <mergeCell ref="A4:C4"/>
    <mergeCell ref="A16:C16"/>
    <mergeCell ref="A17:C17"/>
  </mergeCells>
  <pageMargins left="0.511811024" right="0.511811024" top="0.78740157499999996" bottom="0.78740157499999996" header="0.31496062000000002" footer="0.31496062000000002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5"/>
  <sheetViews>
    <sheetView workbookViewId="0">
      <selection activeCell="L16" sqref="L16"/>
    </sheetView>
  </sheetViews>
  <sheetFormatPr defaultRowHeight="15" x14ac:dyDescent="0.25"/>
  <cols>
    <col min="1" max="1" width="24.140625" style="89" bestFit="1" customWidth="1"/>
    <col min="2" max="2" width="29.7109375" style="89" bestFit="1" customWidth="1"/>
    <col min="3" max="3" width="61.5703125" style="89" bestFit="1" customWidth="1"/>
    <col min="4" max="4" width="9.5703125" style="89" bestFit="1" customWidth="1"/>
    <col min="5" max="5" width="5.85546875" style="89" bestFit="1" customWidth="1"/>
    <col min="6" max="6" width="9.140625" style="77"/>
    <col min="7" max="8" width="9.5703125" style="77" bestFit="1" customWidth="1"/>
    <col min="9" max="9" width="9.28515625" style="77" bestFit="1" customWidth="1"/>
    <col min="10" max="10" width="9.140625" style="77"/>
    <col min="11" max="11" width="9.5703125" style="77" bestFit="1" customWidth="1"/>
    <col min="12" max="16384" width="9.140625" style="77"/>
  </cols>
  <sheetData>
    <row r="1" spans="1:5" ht="21.75" thickBot="1" x14ac:dyDescent="0.4">
      <c r="A1" s="350" t="s">
        <v>190</v>
      </c>
      <c r="B1" s="351"/>
      <c r="C1" s="351"/>
      <c r="D1" s="351"/>
      <c r="E1" s="352"/>
    </row>
    <row r="2" spans="1:5" ht="21.75" thickBot="1" x14ac:dyDescent="0.3">
      <c r="A2" s="353" t="s">
        <v>45</v>
      </c>
      <c r="B2" s="354"/>
      <c r="C2" s="354"/>
      <c r="D2" s="354"/>
      <c r="E2" s="355"/>
    </row>
    <row r="3" spans="1:5" x14ac:dyDescent="0.25">
      <c r="A3" s="356" t="s">
        <v>5</v>
      </c>
      <c r="B3" s="357"/>
      <c r="C3" s="357"/>
      <c r="D3" s="357"/>
      <c r="E3" s="358"/>
    </row>
    <row r="4" spans="1:5" x14ac:dyDescent="0.25">
      <c r="A4" s="162" t="s">
        <v>0</v>
      </c>
      <c r="B4" s="163" t="s">
        <v>1</v>
      </c>
      <c r="C4" s="163" t="s">
        <v>2</v>
      </c>
      <c r="D4" s="163" t="s">
        <v>3</v>
      </c>
      <c r="E4" s="164" t="s">
        <v>21</v>
      </c>
    </row>
    <row r="5" spans="1:5" x14ac:dyDescent="0.25">
      <c r="A5" s="78" t="s">
        <v>6</v>
      </c>
      <c r="B5" s="79" t="s">
        <v>191</v>
      </c>
      <c r="C5" s="79" t="s">
        <v>28</v>
      </c>
      <c r="D5" s="80">
        <v>349.82</v>
      </c>
      <c r="E5" s="81" t="s">
        <v>22</v>
      </c>
    </row>
    <row r="6" spans="1:5" x14ac:dyDescent="0.25">
      <c r="A6" s="78" t="s">
        <v>7</v>
      </c>
      <c r="B6" s="79" t="s">
        <v>191</v>
      </c>
      <c r="C6" s="79" t="s">
        <v>29</v>
      </c>
      <c r="D6" s="80">
        <v>519.51</v>
      </c>
      <c r="E6" s="81" t="s">
        <v>22</v>
      </c>
    </row>
    <row r="7" spans="1:5" x14ac:dyDescent="0.25">
      <c r="A7" s="78" t="s">
        <v>8</v>
      </c>
      <c r="B7" s="79" t="s">
        <v>191</v>
      </c>
      <c r="C7" s="79" t="s">
        <v>30</v>
      </c>
      <c r="D7" s="80">
        <v>262.92</v>
      </c>
      <c r="E7" s="81" t="s">
        <v>22</v>
      </c>
    </row>
    <row r="8" spans="1:5" x14ac:dyDescent="0.25">
      <c r="A8" s="78" t="s">
        <v>9</v>
      </c>
      <c r="B8" s="79" t="s">
        <v>191</v>
      </c>
      <c r="C8" s="79" t="s">
        <v>31</v>
      </c>
      <c r="D8" s="80">
        <v>242.69</v>
      </c>
      <c r="E8" s="81" t="s">
        <v>22</v>
      </c>
    </row>
    <row r="9" spans="1:5" x14ac:dyDescent="0.25">
      <c r="A9" s="78" t="s">
        <v>10</v>
      </c>
      <c r="B9" s="79" t="s">
        <v>191</v>
      </c>
      <c r="C9" s="79" t="s">
        <v>32</v>
      </c>
      <c r="D9" s="80">
        <v>333.7</v>
      </c>
      <c r="E9" s="81" t="s">
        <v>22</v>
      </c>
    </row>
    <row r="10" spans="1:5" x14ac:dyDescent="0.25">
      <c r="A10" s="78" t="s">
        <v>11</v>
      </c>
      <c r="B10" s="79" t="s">
        <v>191</v>
      </c>
      <c r="C10" s="79" t="s">
        <v>33</v>
      </c>
      <c r="D10" s="80">
        <v>464.52</v>
      </c>
      <c r="E10" s="81" t="s">
        <v>22</v>
      </c>
    </row>
    <row r="11" spans="1:5" x14ac:dyDescent="0.25">
      <c r="A11" s="78" t="s">
        <v>12</v>
      </c>
      <c r="B11" s="79" t="s">
        <v>191</v>
      </c>
      <c r="C11" s="79" t="s">
        <v>34</v>
      </c>
      <c r="D11" s="80">
        <v>690.15</v>
      </c>
      <c r="E11" s="81" t="s">
        <v>22</v>
      </c>
    </row>
    <row r="12" spans="1:5" x14ac:dyDescent="0.25">
      <c r="A12" s="78" t="s">
        <v>13</v>
      </c>
      <c r="B12" s="79" t="s">
        <v>192</v>
      </c>
      <c r="C12" s="79" t="s">
        <v>35</v>
      </c>
      <c r="D12" s="80">
        <v>57.6</v>
      </c>
      <c r="E12" s="81" t="s">
        <v>22</v>
      </c>
    </row>
    <row r="13" spans="1:5" x14ac:dyDescent="0.25">
      <c r="A13" s="78" t="s">
        <v>14</v>
      </c>
      <c r="B13" s="79" t="s">
        <v>192</v>
      </c>
      <c r="C13" s="79" t="s">
        <v>36</v>
      </c>
      <c r="D13" s="80">
        <v>38.25</v>
      </c>
      <c r="E13" s="81" t="s">
        <v>22</v>
      </c>
    </row>
    <row r="14" spans="1:5" x14ac:dyDescent="0.25">
      <c r="A14" s="78" t="s">
        <v>15</v>
      </c>
      <c r="B14" s="79" t="s">
        <v>191</v>
      </c>
      <c r="C14" s="79" t="s">
        <v>37</v>
      </c>
      <c r="D14" s="80">
        <v>697.73</v>
      </c>
      <c r="E14" s="81" t="s">
        <v>22</v>
      </c>
    </row>
    <row r="15" spans="1:5" x14ac:dyDescent="0.25">
      <c r="A15" s="359" t="s">
        <v>16</v>
      </c>
      <c r="B15" s="360"/>
      <c r="C15" s="360"/>
      <c r="D15" s="360"/>
      <c r="E15" s="361"/>
    </row>
    <row r="16" spans="1:5" x14ac:dyDescent="0.25">
      <c r="A16" s="162" t="s">
        <v>0</v>
      </c>
      <c r="B16" s="163" t="s">
        <v>1</v>
      </c>
      <c r="C16" s="163" t="s">
        <v>2</v>
      </c>
      <c r="D16" s="163" t="s">
        <v>3</v>
      </c>
      <c r="E16" s="164" t="s">
        <v>21</v>
      </c>
    </row>
    <row r="17" spans="1:7" x14ac:dyDescent="0.25">
      <c r="A17" s="78" t="s">
        <v>17</v>
      </c>
      <c r="B17" s="79" t="s">
        <v>193</v>
      </c>
      <c r="C17" s="79" t="s">
        <v>194</v>
      </c>
      <c r="D17" s="80">
        <f>22*12*5.25*0.99</f>
        <v>1372.14</v>
      </c>
      <c r="E17" s="81" t="s">
        <v>22</v>
      </c>
    </row>
    <row r="18" spans="1:7" x14ac:dyDescent="0.25">
      <c r="A18" s="78" t="s">
        <v>18</v>
      </c>
      <c r="B18" s="79" t="s">
        <v>192</v>
      </c>
      <c r="C18" s="79" t="s">
        <v>195</v>
      </c>
      <c r="D18" s="80">
        <f>84*18*0.55*0.25</f>
        <v>207.9</v>
      </c>
      <c r="E18" s="81" t="s">
        <v>22</v>
      </c>
      <c r="G18" s="82">
        <f>SUM(D17:D20)</f>
        <v>2268</v>
      </c>
    </row>
    <row r="19" spans="1:7" x14ac:dyDescent="0.25">
      <c r="A19" s="78" t="s">
        <v>19</v>
      </c>
      <c r="B19" s="79" t="s">
        <v>192</v>
      </c>
      <c r="C19" s="79" t="s">
        <v>196</v>
      </c>
      <c r="D19" s="80">
        <f>84*18*0.7*0.25</f>
        <v>264.59999999999997</v>
      </c>
      <c r="E19" s="81" t="s">
        <v>22</v>
      </c>
    </row>
    <row r="20" spans="1:7" x14ac:dyDescent="0.25">
      <c r="A20" s="78" t="s">
        <v>20</v>
      </c>
      <c r="B20" s="79" t="s">
        <v>46</v>
      </c>
      <c r="C20" s="79" t="s">
        <v>197</v>
      </c>
      <c r="D20" s="80">
        <f>18*5.25*4.48</f>
        <v>423.36</v>
      </c>
      <c r="E20" s="81" t="s">
        <v>22</v>
      </c>
    </row>
    <row r="21" spans="1:7" ht="15.75" thickBot="1" x14ac:dyDescent="0.3">
      <c r="A21" s="83"/>
      <c r="B21" s="84"/>
      <c r="C21" s="84"/>
      <c r="D21" s="85"/>
      <c r="E21" s="86"/>
    </row>
    <row r="22" spans="1:7" ht="21.75" thickBot="1" x14ac:dyDescent="0.3">
      <c r="A22" s="353" t="s">
        <v>47</v>
      </c>
      <c r="B22" s="354"/>
      <c r="C22" s="354"/>
      <c r="D22" s="354"/>
      <c r="E22" s="355"/>
    </row>
    <row r="23" spans="1:7" x14ac:dyDescent="0.25">
      <c r="A23" s="356" t="s">
        <v>5</v>
      </c>
      <c r="B23" s="357"/>
      <c r="C23" s="357"/>
      <c r="D23" s="357"/>
      <c r="E23" s="358"/>
    </row>
    <row r="24" spans="1:7" x14ac:dyDescent="0.25">
      <c r="A24" s="162" t="s">
        <v>0</v>
      </c>
      <c r="B24" s="163" t="s">
        <v>1</v>
      </c>
      <c r="C24" s="163" t="s">
        <v>2</v>
      </c>
      <c r="D24" s="163" t="s">
        <v>3</v>
      </c>
      <c r="E24" s="164" t="s">
        <v>21</v>
      </c>
    </row>
    <row r="25" spans="1:7" x14ac:dyDescent="0.25">
      <c r="A25" s="78" t="s">
        <v>4</v>
      </c>
      <c r="B25" s="79" t="s">
        <v>26</v>
      </c>
      <c r="C25" s="79" t="s">
        <v>38</v>
      </c>
      <c r="D25" s="79">
        <v>5.67</v>
      </c>
      <c r="E25" s="81" t="s">
        <v>27</v>
      </c>
    </row>
    <row r="26" spans="1:7" x14ac:dyDescent="0.25">
      <c r="A26" s="78" t="s">
        <v>215</v>
      </c>
      <c r="B26" s="79" t="s">
        <v>26</v>
      </c>
      <c r="C26" s="79" t="s">
        <v>216</v>
      </c>
      <c r="D26" s="80">
        <v>4</v>
      </c>
      <c r="E26" s="81" t="s">
        <v>27</v>
      </c>
    </row>
    <row r="27" spans="1:7" x14ac:dyDescent="0.25">
      <c r="A27" s="78" t="s">
        <v>217</v>
      </c>
      <c r="B27" s="79" t="s">
        <v>26</v>
      </c>
      <c r="C27" s="79" t="s">
        <v>218</v>
      </c>
      <c r="D27" s="80">
        <v>1.7</v>
      </c>
      <c r="E27" s="81" t="s">
        <v>27</v>
      </c>
    </row>
    <row r="28" spans="1:7" x14ac:dyDescent="0.25">
      <c r="A28" s="78" t="s">
        <v>24</v>
      </c>
      <c r="B28" s="79" t="s">
        <v>26</v>
      </c>
      <c r="C28" s="79" t="s">
        <v>39</v>
      </c>
      <c r="D28" s="80">
        <v>7.2</v>
      </c>
      <c r="E28" s="81" t="s">
        <v>27</v>
      </c>
    </row>
    <row r="29" spans="1:7" x14ac:dyDescent="0.25">
      <c r="A29" s="78" t="s">
        <v>25</v>
      </c>
      <c r="B29" s="79" t="s">
        <v>26</v>
      </c>
      <c r="C29" s="79" t="s">
        <v>40</v>
      </c>
      <c r="D29" s="80">
        <v>19.059999999999999</v>
      </c>
      <c r="E29" s="81" t="s">
        <v>27</v>
      </c>
    </row>
    <row r="30" spans="1:7" x14ac:dyDescent="0.25">
      <c r="A30" s="359" t="s">
        <v>16</v>
      </c>
      <c r="B30" s="360"/>
      <c r="C30" s="360"/>
      <c r="D30" s="360"/>
      <c r="E30" s="361"/>
    </row>
    <row r="31" spans="1:7" x14ac:dyDescent="0.25">
      <c r="A31" s="359" t="s">
        <v>5</v>
      </c>
      <c r="B31" s="360"/>
      <c r="C31" s="360"/>
      <c r="D31" s="360"/>
      <c r="E31" s="361"/>
    </row>
    <row r="32" spans="1:7" x14ac:dyDescent="0.25">
      <c r="A32" s="162" t="s">
        <v>0</v>
      </c>
      <c r="B32" s="163" t="s">
        <v>1</v>
      </c>
      <c r="C32" s="163" t="s">
        <v>2</v>
      </c>
      <c r="D32" s="163" t="s">
        <v>3</v>
      </c>
      <c r="E32" s="164" t="s">
        <v>21</v>
      </c>
    </row>
    <row r="33" spans="1:8" x14ac:dyDescent="0.25">
      <c r="A33" s="78" t="s">
        <v>16</v>
      </c>
      <c r="B33" s="79" t="s">
        <v>26</v>
      </c>
      <c r="C33" s="79" t="s">
        <v>198</v>
      </c>
      <c r="D33" s="79">
        <f>18*5.25*0.3</f>
        <v>28.349999999999998</v>
      </c>
      <c r="E33" s="81" t="s">
        <v>27</v>
      </c>
    </row>
    <row r="34" spans="1:8" ht="15.75" thickBot="1" x14ac:dyDescent="0.3">
      <c r="A34" s="83"/>
      <c r="B34" s="84"/>
      <c r="C34" s="84"/>
      <c r="D34" s="84"/>
      <c r="E34" s="86"/>
    </row>
    <row r="35" spans="1:8" ht="21.75" thickBot="1" x14ac:dyDescent="0.3">
      <c r="A35" s="353" t="s">
        <v>48</v>
      </c>
      <c r="B35" s="354"/>
      <c r="C35" s="354"/>
      <c r="D35" s="354"/>
      <c r="E35" s="355"/>
    </row>
    <row r="36" spans="1:8" x14ac:dyDescent="0.25">
      <c r="A36" s="356" t="s">
        <v>5</v>
      </c>
      <c r="B36" s="357"/>
      <c r="C36" s="357"/>
      <c r="D36" s="357"/>
      <c r="E36" s="358"/>
    </row>
    <row r="37" spans="1:8" x14ac:dyDescent="0.25">
      <c r="A37" s="162" t="s">
        <v>0</v>
      </c>
      <c r="B37" s="163" t="s">
        <v>1</v>
      </c>
      <c r="C37" s="163" t="s">
        <v>2</v>
      </c>
      <c r="D37" s="163" t="s">
        <v>3</v>
      </c>
      <c r="E37" s="164" t="s">
        <v>21</v>
      </c>
    </row>
    <row r="38" spans="1:8" x14ac:dyDescent="0.25">
      <c r="A38" s="78" t="s">
        <v>4</v>
      </c>
      <c r="B38" s="79" t="s">
        <v>41</v>
      </c>
      <c r="C38" s="79" t="s">
        <v>42</v>
      </c>
      <c r="D38" s="80">
        <v>18.899999999999999</v>
      </c>
      <c r="E38" s="81" t="s">
        <v>23</v>
      </c>
    </row>
    <row r="39" spans="1:8" x14ac:dyDescent="0.25">
      <c r="A39" s="78" t="s">
        <v>24</v>
      </c>
      <c r="B39" s="79" t="s">
        <v>41</v>
      </c>
      <c r="C39" s="79" t="s">
        <v>43</v>
      </c>
      <c r="D39" s="80">
        <v>48</v>
      </c>
      <c r="E39" s="81" t="s">
        <v>23</v>
      </c>
    </row>
    <row r="40" spans="1:8" x14ac:dyDescent="0.25">
      <c r="A40" s="78" t="s">
        <v>25</v>
      </c>
      <c r="B40" s="79" t="s">
        <v>41</v>
      </c>
      <c r="C40" s="79" t="s">
        <v>44</v>
      </c>
      <c r="D40" s="80">
        <v>25.2</v>
      </c>
      <c r="E40" s="81" t="s">
        <v>23</v>
      </c>
    </row>
    <row r="41" spans="1:8" ht="15.75" thickBot="1" x14ac:dyDescent="0.3">
      <c r="A41" s="83"/>
      <c r="B41" s="84"/>
      <c r="C41" s="84"/>
      <c r="D41" s="84"/>
      <c r="E41" s="86"/>
    </row>
    <row r="42" spans="1:8" ht="21.75" thickBot="1" x14ac:dyDescent="0.3">
      <c r="A42" s="353" t="s">
        <v>49</v>
      </c>
      <c r="B42" s="354"/>
      <c r="C42" s="354"/>
      <c r="D42" s="354"/>
      <c r="E42" s="355"/>
    </row>
    <row r="43" spans="1:8" x14ac:dyDescent="0.25">
      <c r="A43" s="356" t="s">
        <v>61</v>
      </c>
      <c r="B43" s="357"/>
      <c r="C43" s="357"/>
      <c r="D43" s="357"/>
      <c r="E43" s="358"/>
    </row>
    <row r="44" spans="1:8" x14ac:dyDescent="0.25">
      <c r="A44" s="162" t="s">
        <v>0</v>
      </c>
      <c r="B44" s="163" t="s">
        <v>1</v>
      </c>
      <c r="C44" s="163" t="s">
        <v>2</v>
      </c>
      <c r="D44" s="163" t="s">
        <v>3</v>
      </c>
      <c r="E44" s="164" t="s">
        <v>21</v>
      </c>
    </row>
    <row r="45" spans="1:8" x14ac:dyDescent="0.25">
      <c r="A45" s="78" t="s">
        <v>50</v>
      </c>
      <c r="B45" s="79" t="s">
        <v>56</v>
      </c>
      <c r="C45" s="79" t="s">
        <v>199</v>
      </c>
      <c r="D45" s="80">
        <f>6*18*174</f>
        <v>18792</v>
      </c>
      <c r="E45" s="81" t="s">
        <v>22</v>
      </c>
    </row>
    <row r="46" spans="1:8" x14ac:dyDescent="0.25">
      <c r="A46" s="78" t="s">
        <v>51</v>
      </c>
      <c r="B46" s="79" t="s">
        <v>57</v>
      </c>
      <c r="C46" s="79" t="s">
        <v>200</v>
      </c>
      <c r="D46" s="80">
        <f>6*2.35*52</f>
        <v>733.2</v>
      </c>
      <c r="E46" s="81" t="s">
        <v>22</v>
      </c>
    </row>
    <row r="47" spans="1:8" x14ac:dyDescent="0.25">
      <c r="A47" s="78" t="s">
        <v>52</v>
      </c>
      <c r="B47" s="79" t="s">
        <v>201</v>
      </c>
      <c r="C47" s="79" t="s">
        <v>202</v>
      </c>
      <c r="D47" s="80">
        <f>52*1.45*73</f>
        <v>5504.2</v>
      </c>
      <c r="E47" s="81" t="s">
        <v>22</v>
      </c>
      <c r="H47" s="82">
        <f>SUM(D45:D50)</f>
        <v>25888.228800000001</v>
      </c>
    </row>
    <row r="48" spans="1:8" x14ac:dyDescent="0.25">
      <c r="A48" s="78" t="s">
        <v>53</v>
      </c>
      <c r="B48" s="79" t="s">
        <v>58</v>
      </c>
      <c r="C48" s="79" t="s">
        <v>203</v>
      </c>
      <c r="D48" s="80">
        <f>2*18*0.5*15.6</f>
        <v>280.8</v>
      </c>
      <c r="E48" s="81" t="s">
        <v>22</v>
      </c>
    </row>
    <row r="49" spans="1:11" x14ac:dyDescent="0.25">
      <c r="A49" s="78" t="s">
        <v>54</v>
      </c>
      <c r="B49" s="79" t="s">
        <v>59</v>
      </c>
      <c r="C49" s="79" t="s">
        <v>174</v>
      </c>
      <c r="D49" s="80">
        <f>8*0.4*0.6*199.39</f>
        <v>382.82879999999994</v>
      </c>
      <c r="E49" s="81" t="s">
        <v>22</v>
      </c>
    </row>
    <row r="50" spans="1:11" x14ac:dyDescent="0.25">
      <c r="A50" s="78" t="s">
        <v>55</v>
      </c>
      <c r="B50" s="79" t="s">
        <v>60</v>
      </c>
      <c r="C50" s="79" t="s">
        <v>175</v>
      </c>
      <c r="D50" s="80">
        <f>8*8*1*3.05</f>
        <v>195.2</v>
      </c>
      <c r="E50" s="81" t="s">
        <v>22</v>
      </c>
      <c r="K50" s="82">
        <f>H47+H53</f>
        <v>28799.731200000002</v>
      </c>
    </row>
    <row r="51" spans="1:11" x14ac:dyDescent="0.25">
      <c r="A51" s="359" t="s">
        <v>62</v>
      </c>
      <c r="B51" s="360"/>
      <c r="C51" s="360"/>
      <c r="D51" s="360"/>
      <c r="E51" s="361"/>
    </row>
    <row r="52" spans="1:11" x14ac:dyDescent="0.25">
      <c r="A52" s="162" t="s">
        <v>0</v>
      </c>
      <c r="B52" s="163" t="s">
        <v>1</v>
      </c>
      <c r="C52" s="163" t="s">
        <v>2</v>
      </c>
      <c r="D52" s="163" t="s">
        <v>3</v>
      </c>
      <c r="E52" s="164" t="s">
        <v>21</v>
      </c>
    </row>
    <row r="53" spans="1:11" x14ac:dyDescent="0.25">
      <c r="A53" s="78" t="s">
        <v>63</v>
      </c>
      <c r="B53" s="79" t="s">
        <v>219</v>
      </c>
      <c r="C53" s="79" t="s">
        <v>204</v>
      </c>
      <c r="D53" s="80">
        <f>2*24*32.49</f>
        <v>1559.52</v>
      </c>
      <c r="E53" s="81" t="s">
        <v>22</v>
      </c>
      <c r="H53" s="82">
        <f>SUM(D53:D57)</f>
        <v>2911.5023999999999</v>
      </c>
    </row>
    <row r="54" spans="1:11" x14ac:dyDescent="0.25">
      <c r="A54" s="78" t="s">
        <v>64</v>
      </c>
      <c r="B54" s="79" t="s">
        <v>219</v>
      </c>
      <c r="C54" s="79" t="s">
        <v>205</v>
      </c>
      <c r="D54" s="80">
        <f>2*26*0.5*32.49</f>
        <v>844.74</v>
      </c>
      <c r="E54" s="81" t="s">
        <v>22</v>
      </c>
    </row>
    <row r="55" spans="1:11" x14ac:dyDescent="0.25">
      <c r="A55" s="78" t="s">
        <v>65</v>
      </c>
      <c r="B55" s="79" t="s">
        <v>220</v>
      </c>
      <c r="C55" s="79" t="s">
        <v>68</v>
      </c>
      <c r="D55" s="80">
        <f>1*6*77.19</f>
        <v>463.14</v>
      </c>
      <c r="E55" s="81" t="s">
        <v>22</v>
      </c>
    </row>
    <row r="56" spans="1:11" x14ac:dyDescent="0.25">
      <c r="A56" s="78" t="s">
        <v>66</v>
      </c>
      <c r="B56" s="79" t="s">
        <v>59</v>
      </c>
      <c r="C56" s="79" t="s">
        <v>69</v>
      </c>
      <c r="D56" s="80">
        <f>1*0.4*0.4*199.39</f>
        <v>31.902400000000004</v>
      </c>
      <c r="E56" s="81" t="s">
        <v>22</v>
      </c>
    </row>
    <row r="57" spans="1:11" x14ac:dyDescent="0.25">
      <c r="A57" s="78" t="s">
        <v>67</v>
      </c>
      <c r="B57" s="79" t="s">
        <v>60</v>
      </c>
      <c r="C57" s="79" t="s">
        <v>70</v>
      </c>
      <c r="D57" s="80">
        <f>4*1*3.05</f>
        <v>12.2</v>
      </c>
      <c r="E57" s="81" t="s">
        <v>22</v>
      </c>
    </row>
    <row r="58" spans="1:11" x14ac:dyDescent="0.25">
      <c r="A58" s="83"/>
      <c r="B58" s="84"/>
      <c r="C58" s="84"/>
      <c r="D58" s="84"/>
      <c r="E58" s="86"/>
    </row>
    <row r="59" spans="1:11" ht="15.75" thickBot="1" x14ac:dyDescent="0.3">
      <c r="A59" s="83"/>
      <c r="B59" s="84"/>
      <c r="C59" s="84"/>
      <c r="D59" s="84"/>
      <c r="E59" s="86"/>
    </row>
    <row r="60" spans="1:11" ht="21.75" thickBot="1" x14ac:dyDescent="0.3">
      <c r="A60" s="353" t="s">
        <v>71</v>
      </c>
      <c r="B60" s="354"/>
      <c r="C60" s="354"/>
      <c r="D60" s="354"/>
      <c r="E60" s="355"/>
    </row>
    <row r="61" spans="1:11" x14ac:dyDescent="0.25">
      <c r="A61" s="356" t="s">
        <v>61</v>
      </c>
      <c r="B61" s="357"/>
      <c r="C61" s="357"/>
      <c r="D61" s="357"/>
      <c r="E61" s="358"/>
    </row>
    <row r="62" spans="1:11" x14ac:dyDescent="0.25">
      <c r="A62" s="162" t="s">
        <v>0</v>
      </c>
      <c r="B62" s="163" t="s">
        <v>1</v>
      </c>
      <c r="C62" s="163" t="s">
        <v>2</v>
      </c>
      <c r="D62" s="163" t="s">
        <v>3</v>
      </c>
      <c r="E62" s="164" t="s">
        <v>21</v>
      </c>
    </row>
    <row r="63" spans="1:11" x14ac:dyDescent="0.25">
      <c r="A63" s="78" t="s">
        <v>16</v>
      </c>
      <c r="B63" s="79" t="s">
        <v>72</v>
      </c>
      <c r="C63" s="79" t="s">
        <v>206</v>
      </c>
      <c r="D63" s="79">
        <f>18*5.25</f>
        <v>94.5</v>
      </c>
      <c r="E63" s="81" t="s">
        <v>23</v>
      </c>
    </row>
    <row r="64" spans="1:11" ht="45" x14ac:dyDescent="0.25">
      <c r="A64" s="87" t="s">
        <v>73</v>
      </c>
      <c r="B64" s="88" t="s">
        <v>74</v>
      </c>
      <c r="C64" s="79" t="s">
        <v>207</v>
      </c>
      <c r="D64" s="79">
        <f>18*5.25</f>
        <v>94.5</v>
      </c>
      <c r="E64" s="81" t="s">
        <v>23</v>
      </c>
    </row>
    <row r="65" spans="1:5" ht="45" x14ac:dyDescent="0.25">
      <c r="A65" s="87" t="s">
        <v>75</v>
      </c>
      <c r="B65" s="88" t="s">
        <v>74</v>
      </c>
      <c r="C65" s="79" t="s">
        <v>207</v>
      </c>
      <c r="D65" s="79">
        <f>18*5.25</f>
        <v>94.5</v>
      </c>
      <c r="E65" s="81" t="s">
        <v>23</v>
      </c>
    </row>
    <row r="66" spans="1:5" ht="15.75" thickBot="1" x14ac:dyDescent="0.3">
      <c r="A66" s="362" t="s">
        <v>76</v>
      </c>
      <c r="B66" s="363"/>
      <c r="C66" s="363"/>
      <c r="D66" s="363"/>
      <c r="E66" s="364"/>
    </row>
    <row r="67" spans="1:5" x14ac:dyDescent="0.25">
      <c r="A67" s="83"/>
      <c r="B67" s="84"/>
      <c r="C67" s="84"/>
      <c r="D67" s="84"/>
      <c r="E67" s="86"/>
    </row>
    <row r="68" spans="1:5" x14ac:dyDescent="0.25">
      <c r="A68" s="83"/>
      <c r="B68" s="84"/>
      <c r="C68" s="84"/>
      <c r="D68" s="84"/>
      <c r="E68" s="86"/>
    </row>
    <row r="69" spans="1:5" x14ac:dyDescent="0.25">
      <c r="A69" s="83"/>
      <c r="B69" s="84"/>
      <c r="C69" s="84"/>
      <c r="D69" s="84"/>
      <c r="E69" s="86"/>
    </row>
    <row r="70" spans="1:5" x14ac:dyDescent="0.25">
      <c r="A70" s="83"/>
      <c r="B70" s="84"/>
      <c r="C70" s="84"/>
      <c r="D70" s="84"/>
      <c r="E70" s="86"/>
    </row>
    <row r="71" spans="1:5" x14ac:dyDescent="0.25">
      <c r="A71" s="83"/>
      <c r="B71" s="293" t="s">
        <v>221</v>
      </c>
      <c r="C71" s="293"/>
      <c r="D71" s="84"/>
      <c r="E71" s="86"/>
    </row>
    <row r="72" spans="1:5" x14ac:dyDescent="0.25">
      <c r="A72" s="83"/>
      <c r="B72" s="294" t="s">
        <v>222</v>
      </c>
      <c r="C72" s="294"/>
      <c r="D72" s="84"/>
      <c r="E72" s="86"/>
    </row>
    <row r="73" spans="1:5" x14ac:dyDescent="0.25">
      <c r="A73" s="83"/>
      <c r="B73" s="293" t="s">
        <v>223</v>
      </c>
      <c r="C73" s="293"/>
      <c r="D73" s="84"/>
      <c r="E73" s="86"/>
    </row>
    <row r="74" spans="1:5" x14ac:dyDescent="0.25">
      <c r="A74" s="83"/>
      <c r="B74" s="84"/>
      <c r="C74" s="84"/>
      <c r="D74" s="84"/>
      <c r="E74" s="86"/>
    </row>
    <row r="75" spans="1:5" ht="15.75" thickBot="1" x14ac:dyDescent="0.3">
      <c r="A75" s="190"/>
      <c r="B75" s="191"/>
      <c r="C75" s="191"/>
      <c r="D75" s="191"/>
      <c r="E75" s="192"/>
    </row>
  </sheetData>
  <mergeCells count="19">
    <mergeCell ref="B71:C71"/>
    <mergeCell ref="B72:C72"/>
    <mergeCell ref="B73:C73"/>
    <mergeCell ref="A23:E23"/>
    <mergeCell ref="A30:E30"/>
    <mergeCell ref="A31:E31"/>
    <mergeCell ref="A35:E35"/>
    <mergeCell ref="A36:E36"/>
    <mergeCell ref="A66:E66"/>
    <mergeCell ref="A42:E42"/>
    <mergeCell ref="A43:E43"/>
    <mergeCell ref="A51:E51"/>
    <mergeCell ref="A60:E60"/>
    <mergeCell ref="A61:E61"/>
    <mergeCell ref="A1:E1"/>
    <mergeCell ref="A22:E22"/>
    <mergeCell ref="A2:E2"/>
    <mergeCell ref="A3:E3"/>
    <mergeCell ref="A15:E15"/>
  </mergeCells>
  <phoneticPr fontId="2" type="noConversion"/>
  <pageMargins left="0.511811024" right="0.511811024" top="0.78740157499999996" bottom="0.78740157499999996" header="0.31496062000000002" footer="0.31496062000000002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PLAN. ORÇAMENTARIA</vt:lpstr>
      <vt:lpstr>COMPOSIÇÃO</vt:lpstr>
      <vt:lpstr>CRONOGRAMA FISICO FINANCEIRO</vt:lpstr>
      <vt:lpstr>COMPOSIÇÃO BDI</vt:lpstr>
      <vt:lpstr>MEMORIAL CÁLCULO</vt:lpstr>
      <vt:lpstr>COMPOSIÇÃO!Area_de_impressao</vt:lpstr>
      <vt:lpstr>'COMPOSIÇÃO BDI'!Area_de_impressao</vt:lpstr>
      <vt:lpstr>'CRONOGRAMA FISICO FINANCEIRO'!Area_de_impressao</vt:lpstr>
      <vt:lpstr>'MEMORIAL CÁLCULO'!Area_de_impressao</vt:lpstr>
      <vt:lpstr>'PLAN. ORÇAMENTARIA'!Area_de_impressao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BARSA ENGENHARIA</dc:creator>
  <cp:lastModifiedBy>OBRAS_09</cp:lastModifiedBy>
  <cp:lastPrinted>2025-05-07T12:09:49Z</cp:lastPrinted>
  <dcterms:created xsi:type="dcterms:W3CDTF">2023-08-15T11:09:07Z</dcterms:created>
  <dcterms:modified xsi:type="dcterms:W3CDTF">2025-05-12T16:03:09Z</dcterms:modified>
</cp:coreProperties>
</file>