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E:\A_Elimar\Arquivos_Diversos\arquivos-cad\BJPenha_CAD\2025\Trecho2_Cebola\Pendencia27022026\Orcamento\"/>
    </mc:Choice>
  </mc:AlternateContent>
  <xr:revisionPtr revIDLastSave="0" documentId="13_ncr:1_{71AB733E-B75D-4EB9-867D-E15FCE6152C0}" xr6:coauthVersionLast="47" xr6:coauthVersionMax="47" xr10:uidLastSave="{00000000-0000-0000-0000-000000000000}"/>
  <bookViews>
    <workbookView xWindow="-120" yWindow="-120" windowWidth="29040" windowHeight="15840" xr2:uid="{8EC77C94-9BB4-4026-B18D-B892EDD31360}"/>
  </bookViews>
  <sheets>
    <sheet name="PO-PLE" sheetId="1" r:id="rId1"/>
    <sheet name="CFF - PLE" sheetId="2" r:id="rId2"/>
  </sheets>
  <definedNames>
    <definedName name="ACOMPANHAMENTO" hidden="1">#REF!</definedName>
    <definedName name="AdmLocal" hidden="1">#REF!</definedName>
    <definedName name="AUTOEVENTO" hidden="1">#REF!</definedName>
    <definedName name="BDI.Opcao" hidden="1">#REF!</definedName>
    <definedName name="BDI.TipoObra" hidden="1">#REF!</definedName>
    <definedName name="BDI_1.Título" hidden="1">#REF!</definedName>
    <definedName name="BDI_2.Título" hidden="1">#REF!</definedName>
    <definedName name="BDI_3.Título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FrentesPreenchidas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.ParcelaFinal" hidden="1">MATCH(100%,#REF!,0)</definedName>
    <definedName name="CRONOPLE.Err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firstrow" hidden="1">#REF!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FechaRRE" hidden="1">#REF!</definedName>
    <definedName name="Import.DataInicioObra" hidden="1">#REF!</definedName>
    <definedName name="Import.DataPreenchimento" hidden="1">OFFSET(#REF!,0,-1)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AdmLocal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acrosserviçoAdmLocal" hidden="1">#REF!</definedName>
    <definedName name="Import.Município" hidden="1">#REF!</definedName>
    <definedName name="Import.Nível" hidden="1">OFFSET(#REF!,1,0):OFFSET(#REF!,-1,0)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LQ.nAgrupEvent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ipoArredondamento" hidden="1">#REF!</definedName>
    <definedName name="Import.TransfereGOV" hidden="1">#REF!</definedName>
    <definedName name="Import.Unidade" hidden="1">OFFSET(#REF!,1,0):OFFSET(#REF!,-1,0)</definedName>
    <definedName name="Import.UnitarioLicitado" hidden="1">OFFSET(#REF!,1,0):OFFSET(#REF!,-1,0)</definedName>
    <definedName name="ListaTgov.Unidades" hidden="1">#REF!</definedName>
    <definedName name="MENU.CRONO" hidden="1">OFFSET(#REF!,1,0)</definedName>
    <definedName name="MENU.Import.Form.PLQ" hidden="1">#REF!</definedName>
    <definedName name="MENU.Import.Form.PreçoUnit" hidden="1">#REF!</definedName>
    <definedName name="NumEventos" hidden="1">COUNT(OFFSET(Eventos,0,0,,1))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13" i="1" l="1"/>
  <c r="S112" i="1"/>
  <c r="S111" i="1"/>
  <c r="S110" i="1"/>
  <c r="S109" i="1"/>
  <c r="S108" i="1"/>
  <c r="L108" i="1"/>
  <c r="K108" i="1"/>
  <c r="F108" i="1"/>
  <c r="S107" i="1"/>
  <c r="L107" i="1"/>
  <c r="K107" i="1"/>
  <c r="F107" i="1"/>
  <c r="S106" i="1"/>
  <c r="L106" i="1"/>
  <c r="K106" i="1"/>
  <c r="F106" i="1"/>
  <c r="S105" i="1"/>
  <c r="S104" i="1"/>
  <c r="L104" i="1"/>
  <c r="K104" i="1"/>
  <c r="F104" i="1"/>
  <c r="S103" i="1"/>
  <c r="S102" i="1"/>
  <c r="S101" i="1"/>
  <c r="S100" i="1"/>
  <c r="L100" i="1"/>
  <c r="K100" i="1"/>
  <c r="F100" i="1"/>
  <c r="S99" i="1"/>
  <c r="S98" i="1"/>
  <c r="S97" i="1"/>
  <c r="S96" i="1"/>
  <c r="L96" i="1"/>
  <c r="K96" i="1"/>
  <c r="F96" i="1"/>
  <c r="S95" i="1"/>
  <c r="S94" i="1"/>
  <c r="L94" i="1"/>
  <c r="K94" i="1"/>
  <c r="F94" i="1"/>
  <c r="S93" i="1"/>
  <c r="S92" i="1"/>
  <c r="S91" i="1"/>
  <c r="S90" i="1"/>
  <c r="L90" i="1"/>
  <c r="K90" i="1"/>
  <c r="F90" i="1"/>
  <c r="L89" i="1"/>
  <c r="S88" i="1"/>
  <c r="L88" i="1"/>
  <c r="K88" i="1"/>
  <c r="F88" i="1"/>
  <c r="S87" i="1"/>
  <c r="S86" i="1"/>
  <c r="L86" i="1"/>
  <c r="K86" i="1"/>
  <c r="F86" i="1"/>
  <c r="S85" i="1"/>
  <c r="S84" i="1"/>
  <c r="L84" i="1"/>
  <c r="K84" i="1"/>
  <c r="F84" i="1"/>
  <c r="S83" i="1"/>
  <c r="S82" i="1"/>
  <c r="L82" i="1"/>
  <c r="K82" i="1"/>
  <c r="F82" i="1"/>
  <c r="S81" i="1"/>
  <c r="L81" i="1"/>
  <c r="K81" i="1"/>
  <c r="F81" i="1"/>
  <c r="S80" i="1"/>
  <c r="S79" i="1"/>
  <c r="S78" i="1"/>
  <c r="L78" i="1"/>
  <c r="K78" i="1"/>
  <c r="F78" i="1"/>
  <c r="L77" i="1"/>
  <c r="S76" i="1"/>
  <c r="S75" i="1"/>
  <c r="L75" i="1"/>
  <c r="K75" i="1"/>
  <c r="F75" i="1"/>
  <c r="S74" i="1"/>
  <c r="L74" i="1"/>
  <c r="K74" i="1"/>
  <c r="F74" i="1"/>
  <c r="S73" i="1"/>
  <c r="L73" i="1"/>
  <c r="K73" i="1"/>
  <c r="F73" i="1"/>
  <c r="S72" i="1"/>
  <c r="L72" i="1"/>
  <c r="K72" i="1"/>
  <c r="F72" i="1"/>
  <c r="S71" i="1"/>
  <c r="L71" i="1"/>
  <c r="K71" i="1"/>
  <c r="F71" i="1"/>
  <c r="S70" i="1"/>
  <c r="L70" i="1"/>
  <c r="K70" i="1"/>
  <c r="F70" i="1"/>
  <c r="S69" i="1"/>
  <c r="L69" i="1"/>
  <c r="K69" i="1"/>
  <c r="F69" i="1"/>
  <c r="S68" i="1"/>
  <c r="L68" i="1"/>
  <c r="K68" i="1"/>
  <c r="F68" i="1"/>
  <c r="L67" i="1"/>
  <c r="S66" i="1"/>
  <c r="S65" i="1"/>
  <c r="S64" i="1"/>
  <c r="S63" i="1"/>
  <c r="L63" i="1"/>
  <c r="K63" i="1"/>
  <c r="F63" i="1"/>
  <c r="S62" i="1"/>
  <c r="S61" i="1"/>
  <c r="S60" i="1"/>
  <c r="S59" i="1"/>
  <c r="L59" i="1"/>
  <c r="K59" i="1"/>
  <c r="F59" i="1"/>
  <c r="S58" i="1"/>
  <c r="S57" i="1"/>
  <c r="S56" i="1"/>
  <c r="S55" i="1"/>
  <c r="L55" i="1"/>
  <c r="K55" i="1"/>
  <c r="F55" i="1"/>
  <c r="S54" i="1"/>
  <c r="S53" i="1"/>
  <c r="S52" i="1"/>
  <c r="S51" i="1"/>
  <c r="L51" i="1"/>
  <c r="K51" i="1"/>
  <c r="F51" i="1"/>
  <c r="S50" i="1"/>
  <c r="S49" i="1"/>
  <c r="S48" i="1"/>
  <c r="S47" i="1"/>
  <c r="L47" i="1"/>
  <c r="K47" i="1"/>
  <c r="F47" i="1"/>
  <c r="S46" i="1"/>
  <c r="S45" i="1"/>
  <c r="S44" i="1"/>
  <c r="S43" i="1"/>
  <c r="L43" i="1"/>
  <c r="K43" i="1"/>
  <c r="F43" i="1"/>
  <c r="S42" i="1"/>
  <c r="S41" i="1"/>
  <c r="S40" i="1"/>
  <c r="S39" i="1"/>
  <c r="L39" i="1"/>
  <c r="K39" i="1"/>
  <c r="F39" i="1"/>
  <c r="S38" i="1"/>
  <c r="S37" i="1"/>
  <c r="S36" i="1"/>
  <c r="S35" i="1"/>
  <c r="L35" i="1"/>
  <c r="K35" i="1"/>
  <c r="F35" i="1"/>
  <c r="S34" i="1"/>
  <c r="S33" i="1"/>
  <c r="S32" i="1"/>
  <c r="S31" i="1"/>
  <c r="L31" i="1"/>
  <c r="K31" i="1"/>
  <c r="F31" i="1"/>
  <c r="L30" i="1"/>
  <c r="S29" i="1"/>
  <c r="S28" i="1"/>
  <c r="S27" i="1"/>
  <c r="S26" i="1"/>
  <c r="L26" i="1"/>
  <c r="K26" i="1"/>
  <c r="F26" i="1"/>
  <c r="S25" i="1"/>
  <c r="S24" i="1"/>
  <c r="S23" i="1"/>
  <c r="S22" i="1"/>
  <c r="L22" i="1"/>
  <c r="K22" i="1"/>
  <c r="F22" i="1"/>
  <c r="L21" i="1"/>
  <c r="S20" i="1"/>
  <c r="S19" i="1"/>
  <c r="S18" i="1"/>
  <c r="S17" i="1"/>
  <c r="L17" i="1"/>
  <c r="K17" i="1"/>
  <c r="F17" i="1"/>
  <c r="S16" i="1"/>
  <c r="S15" i="1"/>
  <c r="S14" i="1"/>
  <c r="S13" i="1"/>
  <c r="L13" i="1"/>
  <c r="K13" i="1"/>
  <c r="F13" i="1"/>
  <c r="S12" i="1"/>
  <c r="S11" i="1"/>
  <c r="S10" i="1"/>
  <c r="S9" i="1"/>
  <c r="L9" i="1"/>
  <c r="K9" i="1"/>
  <c r="F9" i="1"/>
  <c r="L8" i="1"/>
  <c r="S7" i="1"/>
  <c r="S6" i="1"/>
  <c r="S5" i="1"/>
  <c r="L5" i="1"/>
  <c r="K5" i="1"/>
  <c r="F5" i="1"/>
  <c r="L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<sst xmlns="http://schemas.openxmlformats.org/spreadsheetml/2006/main" count="490" uniqueCount="168">
  <si>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</si>
  <si>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</si>
  <si>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</si>
  <si>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</si>
  <si>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</si>
  <si>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</si>
  <si>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</si>
  <si>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</si>
  <si>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</si>
  <si>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</si>
  <si>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</si>
  <si>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</si>
  <si>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</si>
  <si>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</si>
  <si>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</si>
  <si>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</si>
  <si>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</si>
  <si>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</si>
  <si>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</si>
  <si>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</si>
  <si>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</si>
  <si>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</si>
  <si>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</si>
  <si>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</si>
  <si>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</si>
  <si>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</si>
  <si>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</si>
  <si>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</si>
  <si>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23,38%</t>
  </si>
  <si>
    <t>Est.12+0-27+0</t>
  </si>
  <si>
    <t>2</t>
  </si>
  <si>
    <t>Administração Local</t>
  </si>
  <si>
    <t>2.1</t>
  </si>
  <si>
    <t>Composição</t>
  </si>
  <si>
    <t>01</t>
  </si>
  <si>
    <t>ADMINISTRAÇÃO LOCAL DA OBRA-3 MESES</t>
  </si>
  <si>
    <t>UN</t>
  </si>
  <si>
    <t>Adm local 1</t>
  </si>
  <si>
    <t>Adm local 2</t>
  </si>
  <si>
    <t>Adm local 3</t>
  </si>
  <si>
    <t>3</t>
  </si>
  <si>
    <t>SUB-LEITO E SUB-BASE</t>
  </si>
  <si>
    <t>3.1</t>
  </si>
  <si>
    <t>Outros</t>
  </si>
  <si>
    <t>SICRO-4011209</t>
  </si>
  <si>
    <t>Regularização do subleito - 100% Proctor intermediário</t>
  </si>
  <si>
    <t>Est.27+0-42+0</t>
  </si>
  <si>
    <t>Est.42+0-57+0</t>
  </si>
  <si>
    <t>Est.57+0-72+6,90</t>
  </si>
  <si>
    <t>3.2</t>
  </si>
  <si>
    <t>SICRO-4011320</t>
  </si>
  <si>
    <t>Base ou sub-base estabilizada granulometricamente com mistura solo brita (70% - 30%) na pista com material de jazida e brita comercial - 100% Proctor modificado</t>
  </si>
  <si>
    <t>M3</t>
  </si>
  <si>
    <t>3.3</t>
  </si>
  <si>
    <t>SICRO-5914389</t>
  </si>
  <si>
    <t>Transporte com caminhão basculante de 10 m³ - rodovia pavimentada</t>
  </si>
  <si>
    <t>TXKM</t>
  </si>
  <si>
    <t>4</t>
  </si>
  <si>
    <t>BASE</t>
  </si>
  <si>
    <t>4.1</t>
  </si>
  <si>
    <t>SICRO-4011276</t>
  </si>
  <si>
    <t>Base ou sub-base de brita graduada com brita comercial - 100% Proctor modificado</t>
  </si>
  <si>
    <t>4.2</t>
  </si>
  <si>
    <t>5</t>
  </si>
  <si>
    <t>PAVIMENTAÇÃO ASFÁLTICA</t>
  </si>
  <si>
    <t>5.1</t>
  </si>
  <si>
    <t>SICRO-4011351</t>
  </si>
  <si>
    <t>Imprimação com asfalto diluído</t>
  </si>
  <si>
    <t>5.2</t>
  </si>
  <si>
    <t>Cotação</t>
  </si>
  <si>
    <t>EMULSÃO ASFÁLTICA PARA SERVIÇO DE IMPRIMAÇÃO CM-30 (COM ICMS DE 18% - ANP 10/2025 - ESTADO DE MINAS GERAIS)</t>
  </si>
  <si>
    <t>KG</t>
  </si>
  <si>
    <t>5.3</t>
  </si>
  <si>
    <t>SICRO-5914622</t>
  </si>
  <si>
    <t>Transporte de material betuminoso com caminhão tanque distribuidor - rodovia pavimentada</t>
  </si>
  <si>
    <t>5.4</t>
  </si>
  <si>
    <t>SICRO-4011353</t>
  </si>
  <si>
    <t>Pintura de ligação</t>
  </si>
  <si>
    <t>5.5</t>
  </si>
  <si>
    <t>02</t>
  </si>
  <si>
    <t>EMULSÃO ASFÁLTICA RR-1C (COM ICMS DE 18% - ANP 10/2025 - ESTADO DE MINAS GERAIS)</t>
  </si>
  <si>
    <t>5.6</t>
  </si>
  <si>
    <t>5.7</t>
  </si>
  <si>
    <t>SICRO-4011464</t>
  </si>
  <si>
    <t>Concreto asfáltico - faixa C-12,5 - massa comercial</t>
  </si>
  <si>
    <t>T</t>
  </si>
  <si>
    <t>5.8</t>
  </si>
  <si>
    <t>1518</t>
  </si>
  <si>
    <t>CONCRETO BETUMINOSO USINADO A QUENTE (CBUQ) PARA PAVIMENTACAO ASFALTICA, PADRAO DNIT, FAIXA C, COM CAP 50/70 - AQUISICAO POSTO USINA</t>
  </si>
  <si>
    <t>5.9</t>
  </si>
  <si>
    <t>6</t>
  </si>
  <si>
    <t>DRENAGEM PROFUNDA</t>
  </si>
  <si>
    <t>6.1</t>
  </si>
  <si>
    <t>SICRO-2003822</t>
  </si>
  <si>
    <t>Tubo de concreto PA1 comercial para drenagem - D = 0,60 m - fornecimento e instalação</t>
  </si>
  <si>
    <t>M</t>
  </si>
  <si>
    <t>6.2</t>
  </si>
  <si>
    <t>SICRO-4805757</t>
  </si>
  <si>
    <t>Escavação mecânica de vala em material de 1ª categoria</t>
  </si>
  <si>
    <t>6.3</t>
  </si>
  <si>
    <t>101616</t>
  </si>
  <si>
    <t>PREPARO DE FUNDO DE VALA COM LARGURA MENOR QUE 1,5 M (ACERTO DO SOLO NATURAL). AF_08/2020</t>
  </si>
  <si>
    <t>6.4</t>
  </si>
  <si>
    <t>SINCOED-49779</t>
  </si>
  <si>
    <t>CONCRETO CICLÓPICO, TRAÇO 1:3:6, PREPARADO EM OBRA COM BETONEIRA, COM ADIÇÃO DE 30% DE PEDRA DE MÃO, INCLUSIVE LANÇAMENTO, ADENSAMENTO E ACABAMENTO</t>
  </si>
  <si>
    <t>6.5</t>
  </si>
  <si>
    <t>SICRO-4815671</t>
  </si>
  <si>
    <t>Reaterro e compactação com soquete vibratório</t>
  </si>
  <si>
    <t>6.6</t>
  </si>
  <si>
    <t>SICRO-0804381</t>
  </si>
  <si>
    <t>Boca de BSTC D = 0,60 m - esconsidade 30° - areia e brita comerciais - alas esconsas</t>
  </si>
  <si>
    <t>6.7</t>
  </si>
  <si>
    <t>SICRO-2003537</t>
  </si>
  <si>
    <t>Caixa coletora de sarjeta - CCS 300-100 B - com grelha de aço - areia e brita comerciais</t>
  </si>
  <si>
    <t>6.8</t>
  </si>
  <si>
    <t>SICRO-2003578</t>
  </si>
  <si>
    <t>Dreno longitudinal profundo para corte em solo - DPS 07 - tubo PEAD e brita comercial</t>
  </si>
  <si>
    <t>7</t>
  </si>
  <si>
    <t>DRENAGEM SUPERFICIAL</t>
  </si>
  <si>
    <t>7.1</t>
  </si>
  <si>
    <t>SICRO-2003343</t>
  </si>
  <si>
    <t>Sarjeta trapezoidal de concreto - SZC 90-30 - escavação mecânica - areia e brita comerciais</t>
  </si>
  <si>
    <t>7.2</t>
  </si>
  <si>
    <t>SICRO-2003319</t>
  </si>
  <si>
    <t>Sarjeta triangular de concreto - STC 125-25 - escavação mecânica - areia e brita comerciais</t>
  </si>
  <si>
    <t>7.3</t>
  </si>
  <si>
    <t>SICRO-2003327</t>
  </si>
  <si>
    <t>Sarjeta triangular de concreto - STC 108-25 - escavação mecânica - areia e brita comerciais</t>
  </si>
  <si>
    <t>7.4</t>
  </si>
  <si>
    <t>SICRO-2003313</t>
  </si>
  <si>
    <t>Valeta de proteção de aterros com revestimento de concreto - VPAC 160-30 - escavação mecânica - areia e brita comerciais</t>
  </si>
  <si>
    <t>7.5</t>
  </si>
  <si>
    <t>SICRO-2003453</t>
  </si>
  <si>
    <t>Dissipador de energia - DEB 180-263 - areia, brita e pedra de mão comerciais</t>
  </si>
  <si>
    <t>7.6</t>
  </si>
  <si>
    <t>BACIA DE ACUMULAÇÃO TIPO II/A</t>
  </si>
  <si>
    <t>8</t>
  </si>
  <si>
    <t>SINALIZAÇÃO</t>
  </si>
  <si>
    <t>8.1</t>
  </si>
  <si>
    <t>SICRO-5213401</t>
  </si>
  <si>
    <t>Pintura de faixa com tinta acrílica - espessura de 0,6 mm</t>
  </si>
  <si>
    <t>8.2</t>
  </si>
  <si>
    <t>SICRO-5213465</t>
  </si>
  <si>
    <t>Placa de advertência em aço, lado de 0,80 m - película retrorrefletiva tipo I + SI - fornecimento e implantação</t>
  </si>
  <si>
    <t>8.3</t>
  </si>
  <si>
    <t>SICRO-5219606</t>
  </si>
  <si>
    <t>Tacha refletiva em plástico injetado - bidirecional tipo II - com um pino - fornecimento e colocação</t>
  </si>
  <si>
    <t>8.4</t>
  </si>
  <si>
    <t>SICRO-5219613</t>
  </si>
  <si>
    <t>Tacha refletiva em plástico injetado - monodirecional tipo II - com um pino - fornecimento e colocação</t>
  </si>
  <si>
    <t>8.5</t>
  </si>
  <si>
    <t>SICRO-5213441</t>
  </si>
  <si>
    <t>Placa de regulamentação em aço D = 0,80 m - película retrorrefletiva tipo I + SI - fornecimento e implantação</t>
  </si>
  <si>
    <t>8.6</t>
  </si>
  <si>
    <t>SICRO-5213472</t>
  </si>
  <si>
    <t>Placa de marco quilométrico em aço - 0,60 x 0,865 m - película retrorrefletiva tipo I + I - fornecimento e implantação</t>
  </si>
  <si>
    <t>8.7</t>
  </si>
  <si>
    <t>SICRO-5213498</t>
  </si>
  <si>
    <t>Placa em aço - 2,00 x 1,00 m - película retrorrefletiva tipo I + III - fornecimento e implantação</t>
  </si>
  <si>
    <t>8.8</t>
  </si>
  <si>
    <t>SICRO-5213864</t>
  </si>
  <si>
    <t>Suporte metálico galvanizado para placa de advertência ou regulamentação - lado ou diâmetro de 0,80 m - fornecimento e implantação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</si>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</sst>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49" fontId="3" fillId="0" borderId="2" xfId="2" quotePrefix="1" applyNumberFormat="1" applyFont="1" applyBorder="1" applyAlignment="1">
      <alignment horizontal="center" vertical="center" wrapText="1"/>
    </xf>
    <xf numFmtId="4" fontId="3" fillId="3" borderId="2" xfId="2" applyNumberFormat="1" applyFont="1" applyFill="1" applyBorder="1" applyAlignment="1">
      <alignment horizontal="center" vertical="center"/>
    </xf>
    <xf numFmtId="164" fontId="3" fillId="0" borderId="2" xfId="2" applyNumberFormat="1" applyFont="1" applyBorder="1" applyAlignment="1">
      <alignment horizontal="center" vertical="center"/>
    </xf>
    <xf numFmtId="2" fontId="3" fillId="0" borderId="2" xfId="2" applyNumberFormat="1" applyFont="1" applyBorder="1" applyAlignment="1">
      <alignment horizontal="center" vertical="center"/>
    </xf>
    <xf numFmtId="164" fontId="3" fillId="3" borderId="2" xfId="2" applyNumberFormat="1" applyFont="1" applyFill="1" applyBorder="1" applyAlignment="1">
      <alignment horizontal="center" vertical="center"/>
    </xf>
    <xf numFmtId="164" fontId="3" fillId="3" borderId="2" xfId="2" applyNumberFormat="1" applyFont="1" applyFill="1" applyBorder="1" applyAlignment="1">
      <alignment horizontal="center" vertical="center" wrapText="1"/>
    </xf>
    <xf numFmtId="1" fontId="3" fillId="0" borderId="2" xfId="2" applyNumberFormat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49" fontId="3" fillId="0" borderId="3" xfId="2" quotePrefix="1" applyNumberFormat="1" applyFont="1" applyBorder="1" applyAlignment="1">
      <alignment horizontal="center" vertical="center" wrapText="1"/>
    </xf>
    <xf numFmtId="4" fontId="3" fillId="3" borderId="3" xfId="2" applyNumberFormat="1" applyFont="1" applyFill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2" fontId="3" fillId="0" borderId="3" xfId="2" applyNumberFormat="1" applyFont="1" applyBorder="1" applyAlignment="1">
      <alignment horizontal="center" vertical="center"/>
    </xf>
    <xf numFmtId="164" fontId="3" fillId="3" borderId="3" xfId="2" applyNumberFormat="1" applyFont="1" applyFill="1" applyBorder="1" applyAlignment="1">
      <alignment horizontal="center" vertical="center"/>
    </xf>
    <xf numFmtId="164" fontId="3" fillId="3" borderId="3" xfId="2" applyNumberFormat="1" applyFont="1" applyFill="1" applyBorder="1" applyAlignment="1">
      <alignment horizontal="center" vertical="center" wrapText="1"/>
    </xf>
    <xf numFmtId="1" fontId="3" fillId="0" borderId="3" xfId="2" applyNumberFormat="1" applyFont="1" applyBorder="1" applyAlignment="1">
      <alignment horizontal="center" vertical="center" wrapText="1"/>
    </xf>
    <xf numFmtId="49" fontId="3" fillId="0" borderId="4" xfId="2" applyNumberFormat="1" applyFont="1" applyBorder="1" applyAlignment="1">
      <alignment horizontal="center" vertical="center" wrapText="1"/>
    </xf>
    <xf numFmtId="49" fontId="3" fillId="0" borderId="4" xfId="2" quotePrefix="1" applyNumberFormat="1" applyFont="1" applyBorder="1" applyAlignment="1">
      <alignment horizontal="center" vertical="center" wrapText="1"/>
    </xf>
    <xf numFmtId="4" fontId="3" fillId="3" borderId="4" xfId="2" applyNumberFormat="1" applyFont="1" applyFill="1" applyBorder="1" applyAlignment="1">
      <alignment horizontal="center" vertical="center"/>
    </xf>
    <xf numFmtId="164" fontId="3" fillId="0" borderId="4" xfId="2" applyNumberFormat="1" applyFont="1" applyBorder="1" applyAlignment="1">
      <alignment horizontal="center" vertical="center"/>
    </xf>
    <xf numFmtId="2" fontId="3" fillId="0" borderId="4" xfId="2" applyNumberFormat="1" applyFont="1" applyBorder="1" applyAlignment="1">
      <alignment horizontal="center" vertical="center"/>
    </xf>
    <xf numFmtId="164" fontId="3" fillId="3" borderId="4" xfId="2" applyNumberFormat="1" applyFont="1" applyFill="1" applyBorder="1" applyAlignment="1">
      <alignment horizontal="center" vertical="center"/>
    </xf>
    <xf numFmtId="164" fontId="3" fillId="3" borderId="4" xfId="2" applyNumberFormat="1" applyFont="1" applyFill="1" applyBorder="1" applyAlignment="1">
      <alignment horizontal="center" vertical="center" wrapText="1"/>
    </xf>
    <xf numFmtId="1" fontId="3" fillId="0" borderId="4" xfId="2" applyNumberFormat="1" applyFont="1" applyBorder="1" applyAlignment="1">
      <alignment horizontal="center" vertical="center" wrapText="1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44A86E18-D6C7-40A7-8DA1-C84170FD6D85}"/>
  </cellStyles>
  <dxfs count="2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2CEE-D3BC-49A9-97E6-F7889B6CC1B3}">
  <sheetPr codeName="Planilha1"/>
  <dimension ref="A1:S113"/>
  <sheetViews>
    <sheetView tabSelected="1" workbookViewId="0">
      <pane ySplit="1" topLeftCell="A2" activePane="bottomLeft" state="frozen"/>
      <selection pane="bottomLeft"/>
    </sheetView>
  </sheetViews>
  <sheetFormatPr defaultColWidth="9.140625" defaultRowHeight="15" x14ac:dyDescent="0.25"/>
  <cols>
    <col min="1" max="1" width="15" style="3" customWidth="1"/>
    <col min="2" max="2" width="25" style="3" customWidth="1"/>
    <col min="3" max="3" width="12" style="3" customWidth="1"/>
    <col min="4" max="4" width="15.5703125" style="37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703125" style="3" customWidth="1"/>
    <col min="20" max="16384" width="9.140625" style="3"/>
  </cols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2522.73</f>
        <v>2522.73</v>
      </c>
      <c r="M2" s="4"/>
      <c r="N2" s="11"/>
      <c r="O2" s="4"/>
      <c r="P2" s="11"/>
      <c r="Q2" s="4"/>
      <c r="R2" s="12"/>
      <c r="S2" s="9"/>
    </row>
    <row r="3" spans="1:19" ht="45" customHeight="1" x14ac:dyDescent="0.25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6.48</f>
        <v>6.48</v>
      </c>
      <c r="G3" s="4" t="s">
        <v>27</v>
      </c>
      <c r="H3" s="7">
        <v>501.25</v>
      </c>
      <c r="I3" s="7">
        <v>315.54000000000002</v>
      </c>
      <c r="J3" s="8" t="s">
        <v>28</v>
      </c>
      <c r="K3" s="9">
        <f>389.31</f>
        <v>389.31</v>
      </c>
      <c r="L3" s="10">
        <f>2522.73</f>
        <v>2522.73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6.48</v>
      </c>
      <c r="S3" s="9">
        <f>2522.73</f>
        <v>2522.73</v>
      </c>
    </row>
    <row r="4" spans="1:19" ht="45" customHeight="1" x14ac:dyDescent="0.25">
      <c r="A4" s="4" t="s">
        <v>19</v>
      </c>
      <c r="B4" s="5" t="s">
        <v>30</v>
      </c>
      <c r="C4" s="4"/>
      <c r="D4" s="4"/>
      <c r="E4" s="4" t="s">
        <v>31</v>
      </c>
      <c r="F4" s="6"/>
      <c r="G4" s="4"/>
      <c r="H4" s="7"/>
      <c r="I4" s="7"/>
      <c r="J4" s="8"/>
      <c r="K4" s="9"/>
      <c r="L4" s="10">
        <f>22199.06</f>
        <v>22199.06</v>
      </c>
      <c r="M4" s="4"/>
      <c r="N4" s="11"/>
      <c r="O4" s="4"/>
      <c r="P4" s="11"/>
      <c r="Q4" s="4"/>
      <c r="R4" s="12"/>
      <c r="S4" s="9"/>
    </row>
    <row r="5" spans="1:19" ht="45" customHeight="1" x14ac:dyDescent="0.25">
      <c r="A5" s="13" t="s">
        <v>22</v>
      </c>
      <c r="B5" s="14" t="s">
        <v>32</v>
      </c>
      <c r="C5" s="13" t="s">
        <v>33</v>
      </c>
      <c r="D5" s="13" t="s">
        <v>34</v>
      </c>
      <c r="E5" s="13" t="s">
        <v>35</v>
      </c>
      <c r="F5" s="15">
        <f>1</f>
        <v>1</v>
      </c>
      <c r="G5" s="13" t="s">
        <v>36</v>
      </c>
      <c r="H5" s="16">
        <v>28582.09</v>
      </c>
      <c r="I5" s="16">
        <v>17992.43</v>
      </c>
      <c r="J5" s="17" t="s">
        <v>28</v>
      </c>
      <c r="K5" s="18">
        <f>22199.06</f>
        <v>22199.06</v>
      </c>
      <c r="L5" s="19">
        <f>22199.06</f>
        <v>22199.06</v>
      </c>
      <c r="M5" s="13"/>
      <c r="N5" s="20">
        <v>2</v>
      </c>
      <c r="O5" s="13" t="s">
        <v>31</v>
      </c>
      <c r="P5" s="11">
        <v>5</v>
      </c>
      <c r="Q5" s="4" t="s">
        <v>37</v>
      </c>
      <c r="R5" s="12">
        <v>0.49</v>
      </c>
      <c r="S5" s="9">
        <f>10877.54</f>
        <v>10877.54</v>
      </c>
    </row>
    <row r="6" spans="1:19" ht="45" customHeight="1" x14ac:dyDescent="0.25">
      <c r="A6" s="21"/>
      <c r="B6" s="22"/>
      <c r="C6" s="21"/>
      <c r="D6" s="21"/>
      <c r="E6" s="21"/>
      <c r="F6" s="23"/>
      <c r="G6" s="21"/>
      <c r="H6" s="24"/>
      <c r="I6" s="24"/>
      <c r="J6" s="25"/>
      <c r="K6" s="26"/>
      <c r="L6" s="27"/>
      <c r="M6" s="21"/>
      <c r="N6" s="28"/>
      <c r="O6" s="21"/>
      <c r="P6" s="11">
        <v>6</v>
      </c>
      <c r="Q6" s="4" t="s">
        <v>38</v>
      </c>
      <c r="R6" s="12">
        <v>0.44</v>
      </c>
      <c r="S6" s="9">
        <f>9767.59</f>
        <v>9767.59</v>
      </c>
    </row>
    <row r="7" spans="1:19" ht="45" customHeight="1" x14ac:dyDescent="0.25">
      <c r="A7" s="29"/>
      <c r="B7" s="30"/>
      <c r="C7" s="29"/>
      <c r="D7" s="29"/>
      <c r="E7" s="29"/>
      <c r="F7" s="31"/>
      <c r="G7" s="29"/>
      <c r="H7" s="32"/>
      <c r="I7" s="32"/>
      <c r="J7" s="33"/>
      <c r="K7" s="34"/>
      <c r="L7" s="35"/>
      <c r="M7" s="29"/>
      <c r="N7" s="36"/>
      <c r="O7" s="29"/>
      <c r="P7" s="11">
        <v>7</v>
      </c>
      <c r="Q7" s="4" t="s">
        <v>39</v>
      </c>
      <c r="R7" s="12">
        <v>7.0000000000000007E-2</v>
      </c>
      <c r="S7" s="9">
        <f>1553.93</f>
        <v>1553.93</v>
      </c>
    </row>
    <row r="8" spans="1:19" ht="45" customHeight="1" x14ac:dyDescent="0.25">
      <c r="A8" s="4" t="s">
        <v>19</v>
      </c>
      <c r="B8" s="5" t="s">
        <v>40</v>
      </c>
      <c r="C8" s="4"/>
      <c r="D8" s="4"/>
      <c r="E8" s="4" t="s">
        <v>41</v>
      </c>
      <c r="F8" s="6"/>
      <c r="G8" s="4"/>
      <c r="H8" s="7"/>
      <c r="I8" s="7"/>
      <c r="J8" s="8"/>
      <c r="K8" s="9"/>
      <c r="L8" s="10">
        <f>271546.81</f>
        <v>271546.81</v>
      </c>
      <c r="M8" s="4"/>
      <c r="N8" s="11"/>
      <c r="O8" s="4"/>
      <c r="P8" s="11"/>
      <c r="Q8" s="4"/>
      <c r="R8" s="12"/>
      <c r="S8" s="9"/>
    </row>
    <row r="9" spans="1:19" ht="45" customHeight="1" x14ac:dyDescent="0.25">
      <c r="A9" s="13" t="s">
        <v>22</v>
      </c>
      <c r="B9" s="14" t="s">
        <v>42</v>
      </c>
      <c r="C9" s="13" t="s">
        <v>43</v>
      </c>
      <c r="D9" s="13" t="s">
        <v>44</v>
      </c>
      <c r="E9" s="13" t="s">
        <v>45</v>
      </c>
      <c r="F9" s="15">
        <f>11344.86</f>
        <v>11344.86</v>
      </c>
      <c r="G9" s="13" t="s">
        <v>27</v>
      </c>
      <c r="H9" s="16">
        <v>1.89</v>
      </c>
      <c r="I9" s="16">
        <v>1.19</v>
      </c>
      <c r="J9" s="17" t="s">
        <v>28</v>
      </c>
      <c r="K9" s="18">
        <f>1.47</f>
        <v>1.47</v>
      </c>
      <c r="L9" s="19">
        <f>16676.94</f>
        <v>16676.939999999999</v>
      </c>
      <c r="M9" s="13"/>
      <c r="N9" s="20">
        <v>3</v>
      </c>
      <c r="O9" s="13" t="s">
        <v>41</v>
      </c>
      <c r="P9" s="11">
        <v>1</v>
      </c>
      <c r="Q9" s="4" t="s">
        <v>29</v>
      </c>
      <c r="R9" s="12">
        <v>2820</v>
      </c>
      <c r="S9" s="9">
        <f>4145.4</f>
        <v>4145.3999999999996</v>
      </c>
    </row>
    <row r="10" spans="1:19" ht="45" customHeight="1" x14ac:dyDescent="0.25">
      <c r="A10" s="21"/>
      <c r="B10" s="22"/>
      <c r="C10" s="21"/>
      <c r="D10" s="21"/>
      <c r="E10" s="21"/>
      <c r="F10" s="23"/>
      <c r="G10" s="21"/>
      <c r="H10" s="24"/>
      <c r="I10" s="24"/>
      <c r="J10" s="25"/>
      <c r="K10" s="26"/>
      <c r="L10" s="27"/>
      <c r="M10" s="21"/>
      <c r="N10" s="28"/>
      <c r="O10" s="21"/>
      <c r="P10" s="11">
        <v>2</v>
      </c>
      <c r="Q10" s="4" t="s">
        <v>46</v>
      </c>
      <c r="R10" s="12">
        <v>2820</v>
      </c>
      <c r="S10" s="9">
        <f>4145.4</f>
        <v>4145.3999999999996</v>
      </c>
    </row>
    <row r="11" spans="1:19" ht="45" customHeight="1" x14ac:dyDescent="0.25">
      <c r="A11" s="21"/>
      <c r="B11" s="22"/>
      <c r="C11" s="21"/>
      <c r="D11" s="21"/>
      <c r="E11" s="21"/>
      <c r="F11" s="23"/>
      <c r="G11" s="21"/>
      <c r="H11" s="24"/>
      <c r="I11" s="24"/>
      <c r="J11" s="25"/>
      <c r="K11" s="26"/>
      <c r="L11" s="27"/>
      <c r="M11" s="21"/>
      <c r="N11" s="28"/>
      <c r="O11" s="21"/>
      <c r="P11" s="11">
        <v>3</v>
      </c>
      <c r="Q11" s="4" t="s">
        <v>47</v>
      </c>
      <c r="R11" s="12">
        <v>2820</v>
      </c>
      <c r="S11" s="9">
        <f>4145.4</f>
        <v>4145.3999999999996</v>
      </c>
    </row>
    <row r="12" spans="1:19" ht="45" customHeight="1" x14ac:dyDescent="0.25">
      <c r="A12" s="29"/>
      <c r="B12" s="30"/>
      <c r="C12" s="29"/>
      <c r="D12" s="29"/>
      <c r="E12" s="29"/>
      <c r="F12" s="31"/>
      <c r="G12" s="29"/>
      <c r="H12" s="32"/>
      <c r="I12" s="32"/>
      <c r="J12" s="33"/>
      <c r="K12" s="34"/>
      <c r="L12" s="35"/>
      <c r="M12" s="29"/>
      <c r="N12" s="36"/>
      <c r="O12" s="29"/>
      <c r="P12" s="11">
        <v>4</v>
      </c>
      <c r="Q12" s="4" t="s">
        <v>48</v>
      </c>
      <c r="R12" s="12">
        <v>2884.86</v>
      </c>
      <c r="S12" s="9">
        <f>4240.74</f>
        <v>4240.74</v>
      </c>
    </row>
    <row r="13" spans="1:19" ht="45" customHeight="1" x14ac:dyDescent="0.25">
      <c r="A13" s="13" t="s">
        <v>22</v>
      </c>
      <c r="B13" s="14" t="s">
        <v>49</v>
      </c>
      <c r="C13" s="13" t="s">
        <v>43</v>
      </c>
      <c r="D13" s="13" t="s">
        <v>50</v>
      </c>
      <c r="E13" s="13" t="s">
        <v>51</v>
      </c>
      <c r="F13" s="15">
        <f>1629.32</f>
        <v>1629.32</v>
      </c>
      <c r="G13" s="13" t="s">
        <v>52</v>
      </c>
      <c r="H13" s="16">
        <v>91.24</v>
      </c>
      <c r="I13" s="16">
        <v>57.44</v>
      </c>
      <c r="J13" s="17" t="s">
        <v>28</v>
      </c>
      <c r="K13" s="18">
        <f>70.87</f>
        <v>70.87</v>
      </c>
      <c r="L13" s="19">
        <f>115469.91</f>
        <v>115469.91</v>
      </c>
      <c r="M13" s="13"/>
      <c r="N13" s="20">
        <v>3</v>
      </c>
      <c r="O13" s="13" t="s">
        <v>41</v>
      </c>
      <c r="P13" s="11">
        <v>1</v>
      </c>
      <c r="Q13" s="4" t="s">
        <v>29</v>
      </c>
      <c r="R13" s="12">
        <v>405</v>
      </c>
      <c r="S13" s="9">
        <f>28702.35</f>
        <v>28702.35</v>
      </c>
    </row>
    <row r="14" spans="1:19" ht="45" customHeight="1" x14ac:dyDescent="0.25">
      <c r="A14" s="21"/>
      <c r="B14" s="22"/>
      <c r="C14" s="21"/>
      <c r="D14" s="21"/>
      <c r="E14" s="21"/>
      <c r="F14" s="23"/>
      <c r="G14" s="21"/>
      <c r="H14" s="24"/>
      <c r="I14" s="24"/>
      <c r="J14" s="25"/>
      <c r="K14" s="26"/>
      <c r="L14" s="27"/>
      <c r="M14" s="21"/>
      <c r="N14" s="28"/>
      <c r="O14" s="21"/>
      <c r="P14" s="11">
        <v>2</v>
      </c>
      <c r="Q14" s="4" t="s">
        <v>46</v>
      </c>
      <c r="R14" s="12">
        <v>405</v>
      </c>
      <c r="S14" s="9">
        <f>28702.35</f>
        <v>28702.35</v>
      </c>
    </row>
    <row r="15" spans="1:19" ht="45" customHeight="1" x14ac:dyDescent="0.25">
      <c r="A15" s="21"/>
      <c r="B15" s="22"/>
      <c r="C15" s="21"/>
      <c r="D15" s="21"/>
      <c r="E15" s="21"/>
      <c r="F15" s="23"/>
      <c r="G15" s="21"/>
      <c r="H15" s="24"/>
      <c r="I15" s="24"/>
      <c r="J15" s="25"/>
      <c r="K15" s="26"/>
      <c r="L15" s="27"/>
      <c r="M15" s="21"/>
      <c r="N15" s="28"/>
      <c r="O15" s="21"/>
      <c r="P15" s="11">
        <v>3</v>
      </c>
      <c r="Q15" s="4" t="s">
        <v>47</v>
      </c>
      <c r="R15" s="12">
        <v>405</v>
      </c>
      <c r="S15" s="9">
        <f>28702.35</f>
        <v>28702.35</v>
      </c>
    </row>
    <row r="16" spans="1:19" ht="45" customHeight="1" x14ac:dyDescent="0.25">
      <c r="A16" s="29"/>
      <c r="B16" s="30"/>
      <c r="C16" s="29"/>
      <c r="D16" s="29"/>
      <c r="E16" s="29"/>
      <c r="F16" s="31"/>
      <c r="G16" s="29"/>
      <c r="H16" s="32"/>
      <c r="I16" s="32"/>
      <c r="J16" s="33"/>
      <c r="K16" s="34"/>
      <c r="L16" s="35"/>
      <c r="M16" s="29"/>
      <c r="N16" s="36"/>
      <c r="O16" s="29"/>
      <c r="P16" s="11">
        <v>4</v>
      </c>
      <c r="Q16" s="4" t="s">
        <v>48</v>
      </c>
      <c r="R16" s="12">
        <v>414.32</v>
      </c>
      <c r="S16" s="9">
        <f>29362.86</f>
        <v>29362.86</v>
      </c>
    </row>
    <row r="17" spans="1:19" ht="45" customHeight="1" x14ac:dyDescent="0.25">
      <c r="A17" s="13" t="s">
        <v>22</v>
      </c>
      <c r="B17" s="14" t="s">
        <v>53</v>
      </c>
      <c r="C17" s="13" t="s">
        <v>43</v>
      </c>
      <c r="D17" s="13" t="s">
        <v>54</v>
      </c>
      <c r="E17" s="13" t="s">
        <v>55</v>
      </c>
      <c r="F17" s="15">
        <f>217812.45</f>
        <v>217812.45</v>
      </c>
      <c r="G17" s="13" t="s">
        <v>56</v>
      </c>
      <c r="H17" s="16">
        <v>0.83</v>
      </c>
      <c r="I17" s="16">
        <v>0.52</v>
      </c>
      <c r="J17" s="17" t="s">
        <v>28</v>
      </c>
      <c r="K17" s="18">
        <f>0.64</f>
        <v>0.64</v>
      </c>
      <c r="L17" s="19">
        <f>139399.96</f>
        <v>139399.96</v>
      </c>
      <c r="M17" s="13"/>
      <c r="N17" s="20">
        <v>3</v>
      </c>
      <c r="O17" s="13" t="s">
        <v>41</v>
      </c>
      <c r="P17" s="11">
        <v>1</v>
      </c>
      <c r="Q17" s="4" t="s">
        <v>29</v>
      </c>
      <c r="R17" s="12">
        <v>54141.63</v>
      </c>
      <c r="S17" s="9">
        <f>34650.64</f>
        <v>34650.639999999999</v>
      </c>
    </row>
    <row r="18" spans="1:19" ht="45" customHeight="1" x14ac:dyDescent="0.25">
      <c r="A18" s="21"/>
      <c r="B18" s="22"/>
      <c r="C18" s="21"/>
      <c r="D18" s="21"/>
      <c r="E18" s="21"/>
      <c r="F18" s="23"/>
      <c r="G18" s="21"/>
      <c r="H18" s="24"/>
      <c r="I18" s="24"/>
      <c r="J18" s="25"/>
      <c r="K18" s="26"/>
      <c r="L18" s="27"/>
      <c r="M18" s="21"/>
      <c r="N18" s="28"/>
      <c r="O18" s="21"/>
      <c r="P18" s="11">
        <v>2</v>
      </c>
      <c r="Q18" s="4" t="s">
        <v>46</v>
      </c>
      <c r="R18" s="12">
        <v>54141.63</v>
      </c>
      <c r="S18" s="9">
        <f>34650.64</f>
        <v>34650.639999999999</v>
      </c>
    </row>
    <row r="19" spans="1:19" ht="45" customHeight="1" x14ac:dyDescent="0.25">
      <c r="A19" s="21"/>
      <c r="B19" s="22"/>
      <c r="C19" s="21"/>
      <c r="D19" s="21"/>
      <c r="E19" s="21"/>
      <c r="F19" s="23"/>
      <c r="G19" s="21"/>
      <c r="H19" s="24"/>
      <c r="I19" s="24"/>
      <c r="J19" s="25"/>
      <c r="K19" s="26"/>
      <c r="L19" s="27"/>
      <c r="M19" s="21"/>
      <c r="N19" s="28"/>
      <c r="O19" s="21"/>
      <c r="P19" s="11">
        <v>3</v>
      </c>
      <c r="Q19" s="4" t="s">
        <v>47</v>
      </c>
      <c r="R19" s="12">
        <v>54141.63</v>
      </c>
      <c r="S19" s="9">
        <f>34650.64</f>
        <v>34650.639999999999</v>
      </c>
    </row>
    <row r="20" spans="1:19" ht="45" customHeight="1" x14ac:dyDescent="0.25">
      <c r="A20" s="29"/>
      <c r="B20" s="30"/>
      <c r="C20" s="29"/>
      <c r="D20" s="29"/>
      <c r="E20" s="29"/>
      <c r="F20" s="31"/>
      <c r="G20" s="29"/>
      <c r="H20" s="32"/>
      <c r="I20" s="32"/>
      <c r="J20" s="33"/>
      <c r="K20" s="34"/>
      <c r="L20" s="35"/>
      <c r="M20" s="29"/>
      <c r="N20" s="36"/>
      <c r="O20" s="29"/>
      <c r="P20" s="11">
        <v>4</v>
      </c>
      <c r="Q20" s="4" t="s">
        <v>48</v>
      </c>
      <c r="R20" s="12">
        <v>55387.56</v>
      </c>
      <c r="S20" s="9">
        <f>35448.04</f>
        <v>35448.04</v>
      </c>
    </row>
    <row r="21" spans="1:19" ht="45" customHeight="1" x14ac:dyDescent="0.25">
      <c r="A21" s="4" t="s">
        <v>19</v>
      </c>
      <c r="B21" s="5" t="s">
        <v>57</v>
      </c>
      <c r="C21" s="4"/>
      <c r="D21" s="4"/>
      <c r="E21" s="4" t="s">
        <v>58</v>
      </c>
      <c r="F21" s="6"/>
      <c r="G21" s="4"/>
      <c r="H21" s="7"/>
      <c r="I21" s="7"/>
      <c r="J21" s="8"/>
      <c r="K21" s="9"/>
      <c r="L21" s="10">
        <f>508880.86</f>
        <v>508880.86</v>
      </c>
      <c r="M21" s="4"/>
      <c r="N21" s="11"/>
      <c r="O21" s="4"/>
      <c r="P21" s="11"/>
      <c r="Q21" s="4"/>
      <c r="R21" s="12"/>
      <c r="S21" s="9"/>
    </row>
    <row r="22" spans="1:19" ht="45" customHeight="1" x14ac:dyDescent="0.25">
      <c r="A22" s="13" t="s">
        <v>22</v>
      </c>
      <c r="B22" s="14" t="s">
        <v>59</v>
      </c>
      <c r="C22" s="13" t="s">
        <v>43</v>
      </c>
      <c r="D22" s="13" t="s">
        <v>60</v>
      </c>
      <c r="E22" s="13" t="s">
        <v>61</v>
      </c>
      <c r="F22" s="15">
        <f>1629.32</f>
        <v>1629.32</v>
      </c>
      <c r="G22" s="13" t="s">
        <v>52</v>
      </c>
      <c r="H22" s="16">
        <v>291.97000000000003</v>
      </c>
      <c r="I22" s="16">
        <v>183.8</v>
      </c>
      <c r="J22" s="17" t="s">
        <v>28</v>
      </c>
      <c r="K22" s="18">
        <f>226.77</f>
        <v>226.77</v>
      </c>
      <c r="L22" s="19">
        <f>369480.9</f>
        <v>369480.9</v>
      </c>
      <c r="M22" s="13"/>
      <c r="N22" s="20">
        <v>4</v>
      </c>
      <c r="O22" s="13" t="s">
        <v>58</v>
      </c>
      <c r="P22" s="11">
        <v>1</v>
      </c>
      <c r="Q22" s="4" t="s">
        <v>29</v>
      </c>
      <c r="R22" s="12">
        <v>405</v>
      </c>
      <c r="S22" s="9">
        <f>91841.85</f>
        <v>91841.85</v>
      </c>
    </row>
    <row r="23" spans="1:19" ht="45" customHeight="1" x14ac:dyDescent="0.25">
      <c r="A23" s="21"/>
      <c r="B23" s="22"/>
      <c r="C23" s="21"/>
      <c r="D23" s="21"/>
      <c r="E23" s="21"/>
      <c r="F23" s="23"/>
      <c r="G23" s="21"/>
      <c r="H23" s="24"/>
      <c r="I23" s="24"/>
      <c r="J23" s="25"/>
      <c r="K23" s="26"/>
      <c r="L23" s="27"/>
      <c r="M23" s="21"/>
      <c r="N23" s="28"/>
      <c r="O23" s="21"/>
      <c r="P23" s="11">
        <v>2</v>
      </c>
      <c r="Q23" s="4" t="s">
        <v>46</v>
      </c>
      <c r="R23" s="12">
        <v>405</v>
      </c>
      <c r="S23" s="9">
        <f>91841.85</f>
        <v>91841.85</v>
      </c>
    </row>
    <row r="24" spans="1:19" ht="45" customHeight="1" x14ac:dyDescent="0.25">
      <c r="A24" s="21"/>
      <c r="B24" s="22"/>
      <c r="C24" s="21"/>
      <c r="D24" s="21"/>
      <c r="E24" s="21"/>
      <c r="F24" s="23"/>
      <c r="G24" s="21"/>
      <c r="H24" s="24"/>
      <c r="I24" s="24"/>
      <c r="J24" s="25"/>
      <c r="K24" s="26"/>
      <c r="L24" s="27"/>
      <c r="M24" s="21"/>
      <c r="N24" s="28"/>
      <c r="O24" s="21"/>
      <c r="P24" s="11">
        <v>3</v>
      </c>
      <c r="Q24" s="4" t="s">
        <v>47</v>
      </c>
      <c r="R24" s="12">
        <v>405</v>
      </c>
      <c r="S24" s="9">
        <f>91841.85</f>
        <v>91841.85</v>
      </c>
    </row>
    <row r="25" spans="1:19" ht="45" customHeight="1" x14ac:dyDescent="0.25">
      <c r="A25" s="29"/>
      <c r="B25" s="30"/>
      <c r="C25" s="29"/>
      <c r="D25" s="29"/>
      <c r="E25" s="29"/>
      <c r="F25" s="31"/>
      <c r="G25" s="29"/>
      <c r="H25" s="32"/>
      <c r="I25" s="32"/>
      <c r="J25" s="33"/>
      <c r="K25" s="34"/>
      <c r="L25" s="35"/>
      <c r="M25" s="29"/>
      <c r="N25" s="36"/>
      <c r="O25" s="29"/>
      <c r="P25" s="11">
        <v>4</v>
      </c>
      <c r="Q25" s="4" t="s">
        <v>48</v>
      </c>
      <c r="R25" s="12">
        <v>414.32</v>
      </c>
      <c r="S25" s="9">
        <f>93955.35</f>
        <v>93955.35</v>
      </c>
    </row>
    <row r="26" spans="1:19" ht="45" customHeight="1" x14ac:dyDescent="0.25">
      <c r="A26" s="13" t="s">
        <v>22</v>
      </c>
      <c r="B26" s="14" t="s">
        <v>62</v>
      </c>
      <c r="C26" s="13" t="s">
        <v>43</v>
      </c>
      <c r="D26" s="13" t="s">
        <v>54</v>
      </c>
      <c r="E26" s="13" t="s">
        <v>55</v>
      </c>
      <c r="F26" s="15">
        <f>217812.45</f>
        <v>217812.45</v>
      </c>
      <c r="G26" s="13" t="s">
        <v>56</v>
      </c>
      <c r="H26" s="16">
        <v>0.83</v>
      </c>
      <c r="I26" s="16">
        <v>0.52</v>
      </c>
      <c r="J26" s="17" t="s">
        <v>28</v>
      </c>
      <c r="K26" s="18">
        <f>0.64</f>
        <v>0.64</v>
      </c>
      <c r="L26" s="19">
        <f>139399.96</f>
        <v>139399.96</v>
      </c>
      <c r="M26" s="13"/>
      <c r="N26" s="20">
        <v>4</v>
      </c>
      <c r="O26" s="13" t="s">
        <v>58</v>
      </c>
      <c r="P26" s="11">
        <v>1</v>
      </c>
      <c r="Q26" s="4" t="s">
        <v>29</v>
      </c>
      <c r="R26" s="12">
        <v>54141.63</v>
      </c>
      <c r="S26" s="9">
        <f>34650.64</f>
        <v>34650.639999999999</v>
      </c>
    </row>
    <row r="27" spans="1:19" ht="45" customHeight="1" x14ac:dyDescent="0.25">
      <c r="A27" s="21"/>
      <c r="B27" s="22"/>
      <c r="C27" s="21"/>
      <c r="D27" s="21"/>
      <c r="E27" s="21"/>
      <c r="F27" s="23"/>
      <c r="G27" s="21"/>
      <c r="H27" s="24"/>
      <c r="I27" s="24"/>
      <c r="J27" s="25"/>
      <c r="K27" s="26"/>
      <c r="L27" s="27"/>
      <c r="M27" s="21"/>
      <c r="N27" s="28"/>
      <c r="O27" s="21"/>
      <c r="P27" s="11">
        <v>2</v>
      </c>
      <c r="Q27" s="4" t="s">
        <v>46</v>
      </c>
      <c r="R27" s="12">
        <v>54141.63</v>
      </c>
      <c r="S27" s="9">
        <f>34650.64</f>
        <v>34650.639999999999</v>
      </c>
    </row>
    <row r="28" spans="1:19" ht="45" customHeight="1" x14ac:dyDescent="0.25">
      <c r="A28" s="21"/>
      <c r="B28" s="22"/>
      <c r="C28" s="21"/>
      <c r="D28" s="21"/>
      <c r="E28" s="21"/>
      <c r="F28" s="23"/>
      <c r="G28" s="21"/>
      <c r="H28" s="24"/>
      <c r="I28" s="24"/>
      <c r="J28" s="25"/>
      <c r="K28" s="26"/>
      <c r="L28" s="27"/>
      <c r="M28" s="21"/>
      <c r="N28" s="28"/>
      <c r="O28" s="21"/>
      <c r="P28" s="11">
        <v>3</v>
      </c>
      <c r="Q28" s="4" t="s">
        <v>47</v>
      </c>
      <c r="R28" s="12">
        <v>54141.63</v>
      </c>
      <c r="S28" s="9">
        <f>34650.64</f>
        <v>34650.639999999999</v>
      </c>
    </row>
    <row r="29" spans="1:19" ht="45" customHeight="1" x14ac:dyDescent="0.25">
      <c r="A29" s="29"/>
      <c r="B29" s="30"/>
      <c r="C29" s="29"/>
      <c r="D29" s="29"/>
      <c r="E29" s="29"/>
      <c r="F29" s="31"/>
      <c r="G29" s="29"/>
      <c r="H29" s="32"/>
      <c r="I29" s="32"/>
      <c r="J29" s="33"/>
      <c r="K29" s="34"/>
      <c r="L29" s="35"/>
      <c r="M29" s="29"/>
      <c r="N29" s="36"/>
      <c r="O29" s="29"/>
      <c r="P29" s="11">
        <v>4</v>
      </c>
      <c r="Q29" s="4" t="s">
        <v>48</v>
      </c>
      <c r="R29" s="12">
        <v>55387.56</v>
      </c>
      <c r="S29" s="9">
        <f>35448.04</f>
        <v>35448.04</v>
      </c>
    </row>
    <row r="30" spans="1:19" ht="45" customHeight="1" x14ac:dyDescent="0.25">
      <c r="A30" s="4" t="s">
        <v>19</v>
      </c>
      <c r="B30" s="5" t="s">
        <v>63</v>
      </c>
      <c r="C30" s="4"/>
      <c r="D30" s="4"/>
      <c r="E30" s="4" t="s">
        <v>64</v>
      </c>
      <c r="F30" s="6"/>
      <c r="G30" s="4"/>
      <c r="H30" s="7"/>
      <c r="I30" s="7"/>
      <c r="J30" s="8"/>
      <c r="K30" s="9"/>
      <c r="L30" s="10">
        <f>676835.82</f>
        <v>676835.82</v>
      </c>
      <c r="M30" s="4"/>
      <c r="N30" s="11"/>
      <c r="O30" s="4"/>
      <c r="P30" s="11"/>
      <c r="Q30" s="4"/>
      <c r="R30" s="12"/>
      <c r="S30" s="9"/>
    </row>
    <row r="31" spans="1:19" ht="45" customHeight="1" x14ac:dyDescent="0.25">
      <c r="A31" s="13" t="s">
        <v>22</v>
      </c>
      <c r="B31" s="14" t="s">
        <v>65</v>
      </c>
      <c r="C31" s="13" t="s">
        <v>43</v>
      </c>
      <c r="D31" s="13" t="s">
        <v>66</v>
      </c>
      <c r="E31" s="13" t="s">
        <v>67</v>
      </c>
      <c r="F31" s="15">
        <f>8689.68</f>
        <v>8689.68</v>
      </c>
      <c r="G31" s="13" t="s">
        <v>27</v>
      </c>
      <c r="H31" s="16">
        <v>0.61</v>
      </c>
      <c r="I31" s="16">
        <v>0.38</v>
      </c>
      <c r="J31" s="17" t="s">
        <v>28</v>
      </c>
      <c r="K31" s="18">
        <f>0.47</f>
        <v>0.47</v>
      </c>
      <c r="L31" s="19">
        <f>4084.15</f>
        <v>4084.15</v>
      </c>
      <c r="M31" s="13"/>
      <c r="N31" s="20">
        <v>5</v>
      </c>
      <c r="O31" s="13" t="s">
        <v>64</v>
      </c>
      <c r="P31" s="11">
        <v>1</v>
      </c>
      <c r="Q31" s="4" t="s">
        <v>29</v>
      </c>
      <c r="R31" s="12">
        <v>2160</v>
      </c>
      <c r="S31" s="9">
        <f>1015.2</f>
        <v>1015.2</v>
      </c>
    </row>
    <row r="32" spans="1:19" ht="45" customHeight="1" x14ac:dyDescent="0.25">
      <c r="A32" s="21"/>
      <c r="B32" s="22"/>
      <c r="C32" s="21"/>
      <c r="D32" s="21"/>
      <c r="E32" s="21"/>
      <c r="F32" s="23"/>
      <c r="G32" s="21"/>
      <c r="H32" s="24"/>
      <c r="I32" s="24"/>
      <c r="J32" s="25"/>
      <c r="K32" s="26"/>
      <c r="L32" s="27"/>
      <c r="M32" s="21"/>
      <c r="N32" s="28"/>
      <c r="O32" s="21"/>
      <c r="P32" s="11">
        <v>2</v>
      </c>
      <c r="Q32" s="4" t="s">
        <v>46</v>
      </c>
      <c r="R32" s="12">
        <v>2160</v>
      </c>
      <c r="S32" s="9">
        <f>1015.2</f>
        <v>1015.2</v>
      </c>
    </row>
    <row r="33" spans="1:19" ht="45" customHeight="1" x14ac:dyDescent="0.25">
      <c r="A33" s="21"/>
      <c r="B33" s="22"/>
      <c r="C33" s="21"/>
      <c r="D33" s="21"/>
      <c r="E33" s="21"/>
      <c r="F33" s="23"/>
      <c r="G33" s="21"/>
      <c r="H33" s="24"/>
      <c r="I33" s="24"/>
      <c r="J33" s="25"/>
      <c r="K33" s="26"/>
      <c r="L33" s="27"/>
      <c r="M33" s="21"/>
      <c r="N33" s="28"/>
      <c r="O33" s="21"/>
      <c r="P33" s="11">
        <v>3</v>
      </c>
      <c r="Q33" s="4" t="s">
        <v>47</v>
      </c>
      <c r="R33" s="12">
        <v>2160</v>
      </c>
      <c r="S33" s="9">
        <f>1015.2</f>
        <v>1015.2</v>
      </c>
    </row>
    <row r="34" spans="1:19" ht="45" customHeight="1" x14ac:dyDescent="0.25">
      <c r="A34" s="29"/>
      <c r="B34" s="30"/>
      <c r="C34" s="29"/>
      <c r="D34" s="29"/>
      <c r="E34" s="29"/>
      <c r="F34" s="31"/>
      <c r="G34" s="29"/>
      <c r="H34" s="32"/>
      <c r="I34" s="32"/>
      <c r="J34" s="33"/>
      <c r="K34" s="34"/>
      <c r="L34" s="35"/>
      <c r="M34" s="29"/>
      <c r="N34" s="36"/>
      <c r="O34" s="29"/>
      <c r="P34" s="11">
        <v>4</v>
      </c>
      <c r="Q34" s="4" t="s">
        <v>48</v>
      </c>
      <c r="R34" s="12">
        <v>2209.6799999999998</v>
      </c>
      <c r="S34" s="9">
        <f>1038.55</f>
        <v>1038.55</v>
      </c>
    </row>
    <row r="35" spans="1:19" ht="45" customHeight="1" x14ac:dyDescent="0.25">
      <c r="A35" s="13" t="s">
        <v>22</v>
      </c>
      <c r="B35" s="14" t="s">
        <v>68</v>
      </c>
      <c r="C35" s="13" t="s">
        <v>69</v>
      </c>
      <c r="D35" s="13" t="s">
        <v>34</v>
      </c>
      <c r="E35" s="13" t="s">
        <v>70</v>
      </c>
      <c r="F35" s="15">
        <f>10427.62</f>
        <v>10427.620000000001</v>
      </c>
      <c r="G35" s="13" t="s">
        <v>71</v>
      </c>
      <c r="H35" s="16">
        <v>2.5099999999999998</v>
      </c>
      <c r="I35" s="16">
        <v>1.58</v>
      </c>
      <c r="J35" s="17" t="s">
        <v>28</v>
      </c>
      <c r="K35" s="18">
        <f>1.95</f>
        <v>1.95</v>
      </c>
      <c r="L35" s="19">
        <f>20333.86</f>
        <v>20333.86</v>
      </c>
      <c r="M35" s="13"/>
      <c r="N35" s="20">
        <v>5</v>
      </c>
      <c r="O35" s="13" t="s">
        <v>64</v>
      </c>
      <c r="P35" s="11">
        <v>1</v>
      </c>
      <c r="Q35" s="4" t="s">
        <v>29</v>
      </c>
      <c r="R35" s="12">
        <v>2592</v>
      </c>
      <c r="S35" s="9">
        <f>5054.4</f>
        <v>5054.3999999999996</v>
      </c>
    </row>
    <row r="36" spans="1:19" ht="45" customHeight="1" x14ac:dyDescent="0.25">
      <c r="A36" s="21"/>
      <c r="B36" s="22"/>
      <c r="C36" s="21"/>
      <c r="D36" s="21"/>
      <c r="E36" s="21"/>
      <c r="F36" s="23"/>
      <c r="G36" s="21"/>
      <c r="H36" s="24"/>
      <c r="I36" s="24"/>
      <c r="J36" s="25"/>
      <c r="K36" s="26"/>
      <c r="L36" s="27"/>
      <c r="M36" s="21"/>
      <c r="N36" s="28"/>
      <c r="O36" s="21"/>
      <c r="P36" s="11">
        <v>2</v>
      </c>
      <c r="Q36" s="4" t="s">
        <v>46</v>
      </c>
      <c r="R36" s="12">
        <v>2592</v>
      </c>
      <c r="S36" s="9">
        <f>5054.4</f>
        <v>5054.3999999999996</v>
      </c>
    </row>
    <row r="37" spans="1:19" ht="45" customHeight="1" x14ac:dyDescent="0.25">
      <c r="A37" s="21"/>
      <c r="B37" s="22"/>
      <c r="C37" s="21"/>
      <c r="D37" s="21"/>
      <c r="E37" s="21"/>
      <c r="F37" s="23"/>
      <c r="G37" s="21"/>
      <c r="H37" s="24"/>
      <c r="I37" s="24"/>
      <c r="J37" s="25"/>
      <c r="K37" s="26"/>
      <c r="L37" s="27"/>
      <c r="M37" s="21"/>
      <c r="N37" s="28"/>
      <c r="O37" s="21"/>
      <c r="P37" s="11">
        <v>3</v>
      </c>
      <c r="Q37" s="4" t="s">
        <v>47</v>
      </c>
      <c r="R37" s="12">
        <v>2592</v>
      </c>
      <c r="S37" s="9">
        <f>5054.4</f>
        <v>5054.3999999999996</v>
      </c>
    </row>
    <row r="38" spans="1:19" ht="45" customHeight="1" x14ac:dyDescent="0.25">
      <c r="A38" s="29"/>
      <c r="B38" s="30"/>
      <c r="C38" s="29"/>
      <c r="D38" s="29"/>
      <c r="E38" s="29"/>
      <c r="F38" s="31"/>
      <c r="G38" s="29"/>
      <c r="H38" s="32"/>
      <c r="I38" s="32"/>
      <c r="J38" s="33"/>
      <c r="K38" s="34"/>
      <c r="L38" s="35"/>
      <c r="M38" s="29"/>
      <c r="N38" s="36"/>
      <c r="O38" s="29"/>
      <c r="P38" s="11">
        <v>4</v>
      </c>
      <c r="Q38" s="4" t="s">
        <v>48</v>
      </c>
      <c r="R38" s="12">
        <v>2651.62</v>
      </c>
      <c r="S38" s="9">
        <f>5170.66</f>
        <v>5170.66</v>
      </c>
    </row>
    <row r="39" spans="1:19" ht="45" customHeight="1" x14ac:dyDescent="0.25">
      <c r="A39" s="13" t="s">
        <v>22</v>
      </c>
      <c r="B39" s="14" t="s">
        <v>72</v>
      </c>
      <c r="C39" s="13" t="s">
        <v>43</v>
      </c>
      <c r="D39" s="13" t="s">
        <v>73</v>
      </c>
      <c r="E39" s="13" t="s">
        <v>74</v>
      </c>
      <c r="F39" s="15">
        <f>986.88</f>
        <v>986.88</v>
      </c>
      <c r="G39" s="13" t="s">
        <v>56</v>
      </c>
      <c r="H39" s="16">
        <v>2.2400000000000002</v>
      </c>
      <c r="I39" s="16">
        <v>1.41</v>
      </c>
      <c r="J39" s="17" t="s">
        <v>28</v>
      </c>
      <c r="K39" s="18">
        <f>1.74</f>
        <v>1.74</v>
      </c>
      <c r="L39" s="19">
        <f>1717.17</f>
        <v>1717.17</v>
      </c>
      <c r="M39" s="13"/>
      <c r="N39" s="20">
        <v>5</v>
      </c>
      <c r="O39" s="13" t="s">
        <v>64</v>
      </c>
      <c r="P39" s="11">
        <v>1</v>
      </c>
      <c r="Q39" s="4" t="s">
        <v>29</v>
      </c>
      <c r="R39" s="12">
        <v>245.31</v>
      </c>
      <c r="S39" s="9">
        <f>426.84</f>
        <v>426.84</v>
      </c>
    </row>
    <row r="40" spans="1:19" ht="45" customHeight="1" x14ac:dyDescent="0.25">
      <c r="A40" s="21"/>
      <c r="B40" s="22"/>
      <c r="C40" s="21"/>
      <c r="D40" s="21"/>
      <c r="E40" s="21"/>
      <c r="F40" s="23"/>
      <c r="G40" s="21"/>
      <c r="H40" s="24"/>
      <c r="I40" s="24"/>
      <c r="J40" s="25"/>
      <c r="K40" s="26"/>
      <c r="L40" s="27"/>
      <c r="M40" s="21"/>
      <c r="N40" s="28"/>
      <c r="O40" s="21"/>
      <c r="P40" s="11">
        <v>2</v>
      </c>
      <c r="Q40" s="4" t="s">
        <v>46</v>
      </c>
      <c r="R40" s="12">
        <v>245.31</v>
      </c>
      <c r="S40" s="9">
        <f>426.84</f>
        <v>426.84</v>
      </c>
    </row>
    <row r="41" spans="1:19" ht="45" customHeight="1" x14ac:dyDescent="0.25">
      <c r="A41" s="21"/>
      <c r="B41" s="22"/>
      <c r="C41" s="21"/>
      <c r="D41" s="21"/>
      <c r="E41" s="21"/>
      <c r="F41" s="23"/>
      <c r="G41" s="21"/>
      <c r="H41" s="24"/>
      <c r="I41" s="24"/>
      <c r="J41" s="25"/>
      <c r="K41" s="26"/>
      <c r="L41" s="27"/>
      <c r="M41" s="21"/>
      <c r="N41" s="28"/>
      <c r="O41" s="21"/>
      <c r="P41" s="11">
        <v>3</v>
      </c>
      <c r="Q41" s="4" t="s">
        <v>47</v>
      </c>
      <c r="R41" s="12">
        <v>245.31</v>
      </c>
      <c r="S41" s="9">
        <f>426.84</f>
        <v>426.84</v>
      </c>
    </row>
    <row r="42" spans="1:19" ht="45" customHeight="1" x14ac:dyDescent="0.25">
      <c r="A42" s="29"/>
      <c r="B42" s="30"/>
      <c r="C42" s="29"/>
      <c r="D42" s="29"/>
      <c r="E42" s="29"/>
      <c r="F42" s="31"/>
      <c r="G42" s="29"/>
      <c r="H42" s="32"/>
      <c r="I42" s="32"/>
      <c r="J42" s="33"/>
      <c r="K42" s="34"/>
      <c r="L42" s="35"/>
      <c r="M42" s="29"/>
      <c r="N42" s="36"/>
      <c r="O42" s="29"/>
      <c r="P42" s="11">
        <v>4</v>
      </c>
      <c r="Q42" s="4" t="s">
        <v>48</v>
      </c>
      <c r="R42" s="12">
        <v>250.95</v>
      </c>
      <c r="S42" s="9">
        <f>436.65</f>
        <v>436.65</v>
      </c>
    </row>
    <row r="43" spans="1:19" ht="45" customHeight="1" x14ac:dyDescent="0.25">
      <c r="A43" s="13" t="s">
        <v>22</v>
      </c>
      <c r="B43" s="14" t="s">
        <v>75</v>
      </c>
      <c r="C43" s="13" t="s">
        <v>43</v>
      </c>
      <c r="D43" s="13" t="s">
        <v>76</v>
      </c>
      <c r="E43" s="13" t="s">
        <v>77</v>
      </c>
      <c r="F43" s="15">
        <f>8689.68</f>
        <v>8689.68</v>
      </c>
      <c r="G43" s="13" t="s">
        <v>27</v>
      </c>
      <c r="H43" s="16">
        <v>0.46</v>
      </c>
      <c r="I43" s="16">
        <v>0.28999999999999998</v>
      </c>
      <c r="J43" s="17" t="s">
        <v>28</v>
      </c>
      <c r="K43" s="18">
        <f>0.36</f>
        <v>0.36</v>
      </c>
      <c r="L43" s="19">
        <f>3128.28</f>
        <v>3128.28</v>
      </c>
      <c r="M43" s="13"/>
      <c r="N43" s="20">
        <v>5</v>
      </c>
      <c r="O43" s="13" t="s">
        <v>64</v>
      </c>
      <c r="P43" s="11">
        <v>1</v>
      </c>
      <c r="Q43" s="4" t="s">
        <v>29</v>
      </c>
      <c r="R43" s="12">
        <v>2160</v>
      </c>
      <c r="S43" s="9">
        <f>777.6</f>
        <v>777.6</v>
      </c>
    </row>
    <row r="44" spans="1:19" ht="45" customHeight="1" x14ac:dyDescent="0.25">
      <c r="A44" s="21"/>
      <c r="B44" s="22"/>
      <c r="C44" s="21"/>
      <c r="D44" s="21"/>
      <c r="E44" s="21"/>
      <c r="F44" s="23"/>
      <c r="G44" s="21"/>
      <c r="H44" s="24"/>
      <c r="I44" s="24"/>
      <c r="J44" s="25"/>
      <c r="K44" s="26"/>
      <c r="L44" s="27"/>
      <c r="M44" s="21"/>
      <c r="N44" s="28"/>
      <c r="O44" s="21"/>
      <c r="P44" s="11">
        <v>2</v>
      </c>
      <c r="Q44" s="4" t="s">
        <v>46</v>
      </c>
      <c r="R44" s="12">
        <v>2160</v>
      </c>
      <c r="S44" s="9">
        <f>777.6</f>
        <v>777.6</v>
      </c>
    </row>
    <row r="45" spans="1:19" ht="45" customHeight="1" x14ac:dyDescent="0.25">
      <c r="A45" s="21"/>
      <c r="B45" s="22"/>
      <c r="C45" s="21"/>
      <c r="D45" s="21"/>
      <c r="E45" s="21"/>
      <c r="F45" s="23"/>
      <c r="G45" s="21"/>
      <c r="H45" s="24"/>
      <c r="I45" s="24"/>
      <c r="J45" s="25"/>
      <c r="K45" s="26"/>
      <c r="L45" s="27"/>
      <c r="M45" s="21"/>
      <c r="N45" s="28"/>
      <c r="O45" s="21"/>
      <c r="P45" s="11">
        <v>3</v>
      </c>
      <c r="Q45" s="4" t="s">
        <v>47</v>
      </c>
      <c r="R45" s="12">
        <v>2160</v>
      </c>
      <c r="S45" s="9">
        <f>777.6</f>
        <v>777.6</v>
      </c>
    </row>
    <row r="46" spans="1:19" ht="45" customHeight="1" x14ac:dyDescent="0.25">
      <c r="A46" s="29"/>
      <c r="B46" s="30"/>
      <c r="C46" s="29"/>
      <c r="D46" s="29"/>
      <c r="E46" s="29"/>
      <c r="F46" s="31"/>
      <c r="G46" s="29"/>
      <c r="H46" s="32"/>
      <c r="I46" s="32"/>
      <c r="J46" s="33"/>
      <c r="K46" s="34"/>
      <c r="L46" s="35"/>
      <c r="M46" s="29"/>
      <c r="N46" s="36"/>
      <c r="O46" s="29"/>
      <c r="P46" s="11">
        <v>4</v>
      </c>
      <c r="Q46" s="4" t="s">
        <v>48</v>
      </c>
      <c r="R46" s="12">
        <v>2209.6799999999998</v>
      </c>
      <c r="S46" s="9">
        <f>795.48</f>
        <v>795.48</v>
      </c>
    </row>
    <row r="47" spans="1:19" ht="45" customHeight="1" x14ac:dyDescent="0.25">
      <c r="A47" s="13" t="s">
        <v>22</v>
      </c>
      <c r="B47" s="14" t="s">
        <v>78</v>
      </c>
      <c r="C47" s="13" t="s">
        <v>69</v>
      </c>
      <c r="D47" s="13" t="s">
        <v>79</v>
      </c>
      <c r="E47" s="13" t="s">
        <v>80</v>
      </c>
      <c r="F47" s="15">
        <f>3910.36</f>
        <v>3910.36</v>
      </c>
      <c r="G47" s="13" t="s">
        <v>71</v>
      </c>
      <c r="H47" s="16">
        <v>3.29</v>
      </c>
      <c r="I47" s="16">
        <v>2.0699999999999998</v>
      </c>
      <c r="J47" s="17" t="s">
        <v>28</v>
      </c>
      <c r="K47" s="18">
        <f>2.55</f>
        <v>2.5499999999999998</v>
      </c>
      <c r="L47" s="19">
        <f>9971.42</f>
        <v>9971.42</v>
      </c>
      <c r="M47" s="13"/>
      <c r="N47" s="20">
        <v>5</v>
      </c>
      <c r="O47" s="13" t="s">
        <v>64</v>
      </c>
      <c r="P47" s="11">
        <v>1</v>
      </c>
      <c r="Q47" s="4" t="s">
        <v>29</v>
      </c>
      <c r="R47" s="12">
        <v>972</v>
      </c>
      <c r="S47" s="9">
        <f>2478.6</f>
        <v>2478.6</v>
      </c>
    </row>
    <row r="48" spans="1:19" ht="45" customHeight="1" x14ac:dyDescent="0.25">
      <c r="A48" s="21"/>
      <c r="B48" s="22"/>
      <c r="C48" s="21"/>
      <c r="D48" s="21"/>
      <c r="E48" s="21"/>
      <c r="F48" s="23"/>
      <c r="G48" s="21"/>
      <c r="H48" s="24"/>
      <c r="I48" s="24"/>
      <c r="J48" s="25"/>
      <c r="K48" s="26"/>
      <c r="L48" s="27"/>
      <c r="M48" s="21"/>
      <c r="N48" s="28"/>
      <c r="O48" s="21"/>
      <c r="P48" s="11">
        <v>2</v>
      </c>
      <c r="Q48" s="4" t="s">
        <v>46</v>
      </c>
      <c r="R48" s="12">
        <v>972</v>
      </c>
      <c r="S48" s="9">
        <f>2478.6</f>
        <v>2478.6</v>
      </c>
    </row>
    <row r="49" spans="1:19" ht="45" customHeight="1" x14ac:dyDescent="0.25">
      <c r="A49" s="21"/>
      <c r="B49" s="22"/>
      <c r="C49" s="21"/>
      <c r="D49" s="21"/>
      <c r="E49" s="21"/>
      <c r="F49" s="23"/>
      <c r="G49" s="21"/>
      <c r="H49" s="24"/>
      <c r="I49" s="24"/>
      <c r="J49" s="25"/>
      <c r="K49" s="26"/>
      <c r="L49" s="27"/>
      <c r="M49" s="21"/>
      <c r="N49" s="28"/>
      <c r="O49" s="21"/>
      <c r="P49" s="11">
        <v>3</v>
      </c>
      <c r="Q49" s="4" t="s">
        <v>47</v>
      </c>
      <c r="R49" s="12">
        <v>972</v>
      </c>
      <c r="S49" s="9">
        <f>2478.6</f>
        <v>2478.6</v>
      </c>
    </row>
    <row r="50" spans="1:19" ht="45" customHeight="1" x14ac:dyDescent="0.25">
      <c r="A50" s="29"/>
      <c r="B50" s="30"/>
      <c r="C50" s="29"/>
      <c r="D50" s="29"/>
      <c r="E50" s="29"/>
      <c r="F50" s="31"/>
      <c r="G50" s="29"/>
      <c r="H50" s="32"/>
      <c r="I50" s="32"/>
      <c r="J50" s="33"/>
      <c r="K50" s="34"/>
      <c r="L50" s="35"/>
      <c r="M50" s="29"/>
      <c r="N50" s="36"/>
      <c r="O50" s="29"/>
      <c r="P50" s="11">
        <v>4</v>
      </c>
      <c r="Q50" s="4" t="s">
        <v>48</v>
      </c>
      <c r="R50" s="12">
        <v>994.36</v>
      </c>
      <c r="S50" s="9">
        <f>2535.62</f>
        <v>2535.62</v>
      </c>
    </row>
    <row r="51" spans="1:19" ht="45" customHeight="1" x14ac:dyDescent="0.25">
      <c r="A51" s="13" t="s">
        <v>22</v>
      </c>
      <c r="B51" s="14" t="s">
        <v>81</v>
      </c>
      <c r="C51" s="13" t="s">
        <v>43</v>
      </c>
      <c r="D51" s="13" t="s">
        <v>73</v>
      </c>
      <c r="E51" s="13" t="s">
        <v>74</v>
      </c>
      <c r="F51" s="15">
        <f>247.53</f>
        <v>247.53</v>
      </c>
      <c r="G51" s="13" t="s">
        <v>56</v>
      </c>
      <c r="H51" s="16">
        <v>2.2400000000000002</v>
      </c>
      <c r="I51" s="16">
        <v>1.41</v>
      </c>
      <c r="J51" s="17" t="s">
        <v>28</v>
      </c>
      <c r="K51" s="18">
        <f>1.74</f>
        <v>1.74</v>
      </c>
      <c r="L51" s="19">
        <f>430.7</f>
        <v>430.7</v>
      </c>
      <c r="M51" s="13"/>
      <c r="N51" s="20">
        <v>5</v>
      </c>
      <c r="O51" s="13" t="s">
        <v>64</v>
      </c>
      <c r="P51" s="11">
        <v>1</v>
      </c>
      <c r="Q51" s="4" t="s">
        <v>29</v>
      </c>
      <c r="R51" s="12">
        <v>61.53</v>
      </c>
      <c r="S51" s="9">
        <f>107.06</f>
        <v>107.06</v>
      </c>
    </row>
    <row r="52" spans="1:19" ht="45" customHeight="1" x14ac:dyDescent="0.25">
      <c r="A52" s="21"/>
      <c r="B52" s="22"/>
      <c r="C52" s="21"/>
      <c r="D52" s="21"/>
      <c r="E52" s="21"/>
      <c r="F52" s="23"/>
      <c r="G52" s="21"/>
      <c r="H52" s="24"/>
      <c r="I52" s="24"/>
      <c r="J52" s="25"/>
      <c r="K52" s="26"/>
      <c r="L52" s="27"/>
      <c r="M52" s="21"/>
      <c r="N52" s="28"/>
      <c r="O52" s="21"/>
      <c r="P52" s="11">
        <v>2</v>
      </c>
      <c r="Q52" s="4" t="s">
        <v>46</v>
      </c>
      <c r="R52" s="12">
        <v>61.53</v>
      </c>
      <c r="S52" s="9">
        <f>107.06</f>
        <v>107.06</v>
      </c>
    </row>
    <row r="53" spans="1:19" ht="45" customHeight="1" x14ac:dyDescent="0.25">
      <c r="A53" s="21"/>
      <c r="B53" s="22"/>
      <c r="C53" s="21"/>
      <c r="D53" s="21"/>
      <c r="E53" s="21"/>
      <c r="F53" s="23"/>
      <c r="G53" s="21"/>
      <c r="H53" s="24"/>
      <c r="I53" s="24"/>
      <c r="J53" s="25"/>
      <c r="K53" s="26"/>
      <c r="L53" s="27"/>
      <c r="M53" s="21"/>
      <c r="N53" s="28"/>
      <c r="O53" s="21"/>
      <c r="P53" s="11">
        <v>3</v>
      </c>
      <c r="Q53" s="4" t="s">
        <v>47</v>
      </c>
      <c r="R53" s="12">
        <v>61.53</v>
      </c>
      <c r="S53" s="9">
        <f>107.06</f>
        <v>107.06</v>
      </c>
    </row>
    <row r="54" spans="1:19" ht="45" customHeight="1" x14ac:dyDescent="0.25">
      <c r="A54" s="29"/>
      <c r="B54" s="30"/>
      <c r="C54" s="29"/>
      <c r="D54" s="29"/>
      <c r="E54" s="29"/>
      <c r="F54" s="31"/>
      <c r="G54" s="29"/>
      <c r="H54" s="32"/>
      <c r="I54" s="32"/>
      <c r="J54" s="33"/>
      <c r="K54" s="34"/>
      <c r="L54" s="35"/>
      <c r="M54" s="29"/>
      <c r="N54" s="36"/>
      <c r="O54" s="29"/>
      <c r="P54" s="11">
        <v>4</v>
      </c>
      <c r="Q54" s="4" t="s">
        <v>48</v>
      </c>
      <c r="R54" s="12">
        <v>62.94</v>
      </c>
      <c r="S54" s="9">
        <f>109.52</f>
        <v>109.52</v>
      </c>
    </row>
    <row r="55" spans="1:19" ht="45" customHeight="1" x14ac:dyDescent="0.25">
      <c r="A55" s="13" t="s">
        <v>22</v>
      </c>
      <c r="B55" s="14" t="s">
        <v>82</v>
      </c>
      <c r="C55" s="13" t="s">
        <v>43</v>
      </c>
      <c r="D55" s="13" t="s">
        <v>83</v>
      </c>
      <c r="E55" s="13" t="s">
        <v>84</v>
      </c>
      <c r="F55" s="15">
        <f>1042.76</f>
        <v>1042.76</v>
      </c>
      <c r="G55" s="13" t="s">
        <v>85</v>
      </c>
      <c r="H55" s="16">
        <v>21.75</v>
      </c>
      <c r="I55" s="16">
        <v>13.69</v>
      </c>
      <c r="J55" s="17" t="s">
        <v>28</v>
      </c>
      <c r="K55" s="18">
        <f>16.89</f>
        <v>16.89</v>
      </c>
      <c r="L55" s="19">
        <f>17612.22</f>
        <v>17612.22</v>
      </c>
      <c r="M55" s="13"/>
      <c r="N55" s="20">
        <v>5</v>
      </c>
      <c r="O55" s="13" t="s">
        <v>64</v>
      </c>
      <c r="P55" s="11">
        <v>1</v>
      </c>
      <c r="Q55" s="4" t="s">
        <v>29</v>
      </c>
      <c r="R55" s="12">
        <v>259.2</v>
      </c>
      <c r="S55" s="9">
        <f>4377.89</f>
        <v>4377.8900000000003</v>
      </c>
    </row>
    <row r="56" spans="1:19" ht="45" customHeight="1" x14ac:dyDescent="0.25">
      <c r="A56" s="21"/>
      <c r="B56" s="22"/>
      <c r="C56" s="21"/>
      <c r="D56" s="21"/>
      <c r="E56" s="21"/>
      <c r="F56" s="23"/>
      <c r="G56" s="21"/>
      <c r="H56" s="24"/>
      <c r="I56" s="24"/>
      <c r="J56" s="25"/>
      <c r="K56" s="26"/>
      <c r="L56" s="27"/>
      <c r="M56" s="21"/>
      <c r="N56" s="28"/>
      <c r="O56" s="21"/>
      <c r="P56" s="11">
        <v>2</v>
      </c>
      <c r="Q56" s="4" t="s">
        <v>46</v>
      </c>
      <c r="R56" s="12">
        <v>259.2</v>
      </c>
      <c r="S56" s="9">
        <f>4377.89</f>
        <v>4377.8900000000003</v>
      </c>
    </row>
    <row r="57" spans="1:19" ht="45" customHeight="1" x14ac:dyDescent="0.25">
      <c r="A57" s="21"/>
      <c r="B57" s="22"/>
      <c r="C57" s="21"/>
      <c r="D57" s="21"/>
      <c r="E57" s="21"/>
      <c r="F57" s="23"/>
      <c r="G57" s="21"/>
      <c r="H57" s="24"/>
      <c r="I57" s="24"/>
      <c r="J57" s="25"/>
      <c r="K57" s="26"/>
      <c r="L57" s="27"/>
      <c r="M57" s="21"/>
      <c r="N57" s="28"/>
      <c r="O57" s="21"/>
      <c r="P57" s="11">
        <v>3</v>
      </c>
      <c r="Q57" s="4" t="s">
        <v>47</v>
      </c>
      <c r="R57" s="12">
        <v>259.2</v>
      </c>
      <c r="S57" s="9">
        <f>4377.89</f>
        <v>4377.8900000000003</v>
      </c>
    </row>
    <row r="58" spans="1:19" ht="45" customHeight="1" x14ac:dyDescent="0.25">
      <c r="A58" s="29"/>
      <c r="B58" s="30"/>
      <c r="C58" s="29"/>
      <c r="D58" s="29"/>
      <c r="E58" s="29"/>
      <c r="F58" s="31"/>
      <c r="G58" s="29"/>
      <c r="H58" s="32"/>
      <c r="I58" s="32"/>
      <c r="J58" s="33"/>
      <c r="K58" s="34"/>
      <c r="L58" s="35"/>
      <c r="M58" s="29"/>
      <c r="N58" s="36"/>
      <c r="O58" s="29"/>
      <c r="P58" s="11">
        <v>4</v>
      </c>
      <c r="Q58" s="4" t="s">
        <v>48</v>
      </c>
      <c r="R58" s="12">
        <v>265.16000000000003</v>
      </c>
      <c r="S58" s="9">
        <f>4478.55</f>
        <v>4478.55</v>
      </c>
    </row>
    <row r="59" spans="1:19" ht="45" customHeight="1" x14ac:dyDescent="0.25">
      <c r="A59" s="13" t="s">
        <v>22</v>
      </c>
      <c r="B59" s="14" t="s">
        <v>86</v>
      </c>
      <c r="C59" s="13" t="s">
        <v>24</v>
      </c>
      <c r="D59" s="13" t="s">
        <v>87</v>
      </c>
      <c r="E59" s="13" t="s">
        <v>88</v>
      </c>
      <c r="F59" s="15">
        <f>1042.76</f>
        <v>1042.76</v>
      </c>
      <c r="G59" s="13" t="s">
        <v>85</v>
      </c>
      <c r="H59" s="16">
        <v>705</v>
      </c>
      <c r="I59" s="16">
        <v>443.8</v>
      </c>
      <c r="J59" s="17" t="s">
        <v>28</v>
      </c>
      <c r="K59" s="18">
        <f>547.56</f>
        <v>547.55999999999995</v>
      </c>
      <c r="L59" s="19">
        <f>570973.66</f>
        <v>570973.66</v>
      </c>
      <c r="M59" s="13"/>
      <c r="N59" s="20">
        <v>5</v>
      </c>
      <c r="O59" s="13" t="s">
        <v>64</v>
      </c>
      <c r="P59" s="11">
        <v>1</v>
      </c>
      <c r="Q59" s="4" t="s">
        <v>29</v>
      </c>
      <c r="R59" s="12">
        <v>259.2</v>
      </c>
      <c r="S59" s="9">
        <f>141927.55</f>
        <v>141927.54999999999</v>
      </c>
    </row>
    <row r="60" spans="1:19" ht="45" customHeight="1" x14ac:dyDescent="0.25">
      <c r="A60" s="21"/>
      <c r="B60" s="22"/>
      <c r="C60" s="21"/>
      <c r="D60" s="21"/>
      <c r="E60" s="21"/>
      <c r="F60" s="23"/>
      <c r="G60" s="21"/>
      <c r="H60" s="24"/>
      <c r="I60" s="24"/>
      <c r="J60" s="25"/>
      <c r="K60" s="26"/>
      <c r="L60" s="27"/>
      <c r="M60" s="21"/>
      <c r="N60" s="28"/>
      <c r="O60" s="21"/>
      <c r="P60" s="11">
        <v>2</v>
      </c>
      <c r="Q60" s="4" t="s">
        <v>46</v>
      </c>
      <c r="R60" s="12">
        <v>259.2</v>
      </c>
      <c r="S60" s="9">
        <f>141927.55</f>
        <v>141927.54999999999</v>
      </c>
    </row>
    <row r="61" spans="1:19" ht="45" customHeight="1" x14ac:dyDescent="0.25">
      <c r="A61" s="21"/>
      <c r="B61" s="22"/>
      <c r="C61" s="21"/>
      <c r="D61" s="21"/>
      <c r="E61" s="21"/>
      <c r="F61" s="23"/>
      <c r="G61" s="21"/>
      <c r="H61" s="24"/>
      <c r="I61" s="24"/>
      <c r="J61" s="25"/>
      <c r="K61" s="26"/>
      <c r="L61" s="27"/>
      <c r="M61" s="21"/>
      <c r="N61" s="28"/>
      <c r="O61" s="21"/>
      <c r="P61" s="11">
        <v>3</v>
      </c>
      <c r="Q61" s="4" t="s">
        <v>47</v>
      </c>
      <c r="R61" s="12">
        <v>259.2</v>
      </c>
      <c r="S61" s="9">
        <f>141927.55</f>
        <v>141927.54999999999</v>
      </c>
    </row>
    <row r="62" spans="1:19" ht="45" customHeight="1" x14ac:dyDescent="0.25">
      <c r="A62" s="29"/>
      <c r="B62" s="30"/>
      <c r="C62" s="29"/>
      <c r="D62" s="29"/>
      <c r="E62" s="29"/>
      <c r="F62" s="31"/>
      <c r="G62" s="29"/>
      <c r="H62" s="32"/>
      <c r="I62" s="32"/>
      <c r="J62" s="33"/>
      <c r="K62" s="34"/>
      <c r="L62" s="35"/>
      <c r="M62" s="29"/>
      <c r="N62" s="36"/>
      <c r="O62" s="29"/>
      <c r="P62" s="11">
        <v>4</v>
      </c>
      <c r="Q62" s="4" t="s">
        <v>48</v>
      </c>
      <c r="R62" s="12">
        <v>265.16000000000003</v>
      </c>
      <c r="S62" s="9">
        <f>145191.01</f>
        <v>145191.01</v>
      </c>
    </row>
    <row r="63" spans="1:19" ht="45" customHeight="1" x14ac:dyDescent="0.25">
      <c r="A63" s="13" t="s">
        <v>22</v>
      </c>
      <c r="B63" s="14" t="s">
        <v>89</v>
      </c>
      <c r="C63" s="13" t="s">
        <v>43</v>
      </c>
      <c r="D63" s="13" t="s">
        <v>54</v>
      </c>
      <c r="E63" s="13" t="s">
        <v>55</v>
      </c>
      <c r="F63" s="15">
        <f>75913.04</f>
        <v>75913.039999999994</v>
      </c>
      <c r="G63" s="13" t="s">
        <v>56</v>
      </c>
      <c r="H63" s="16">
        <v>0.83</v>
      </c>
      <c r="I63" s="16">
        <v>0.52</v>
      </c>
      <c r="J63" s="17" t="s">
        <v>28</v>
      </c>
      <c r="K63" s="18">
        <f>0.64</f>
        <v>0.64</v>
      </c>
      <c r="L63" s="19">
        <f>48584.36</f>
        <v>48584.36</v>
      </c>
      <c r="M63" s="13"/>
      <c r="N63" s="20">
        <v>5</v>
      </c>
      <c r="O63" s="13" t="s">
        <v>64</v>
      </c>
      <c r="P63" s="11">
        <v>1</v>
      </c>
      <c r="Q63" s="4" t="s">
        <v>29</v>
      </c>
      <c r="R63" s="12">
        <v>18869.759999999998</v>
      </c>
      <c r="S63" s="9">
        <f>12076.65</f>
        <v>12076.65</v>
      </c>
    </row>
    <row r="64" spans="1:19" ht="45" customHeight="1" x14ac:dyDescent="0.25">
      <c r="A64" s="21"/>
      <c r="B64" s="22"/>
      <c r="C64" s="21"/>
      <c r="D64" s="21"/>
      <c r="E64" s="21"/>
      <c r="F64" s="23"/>
      <c r="G64" s="21"/>
      <c r="H64" s="24"/>
      <c r="I64" s="24"/>
      <c r="J64" s="25"/>
      <c r="K64" s="26"/>
      <c r="L64" s="27"/>
      <c r="M64" s="21"/>
      <c r="N64" s="28"/>
      <c r="O64" s="21"/>
      <c r="P64" s="11">
        <v>2</v>
      </c>
      <c r="Q64" s="4" t="s">
        <v>46</v>
      </c>
      <c r="R64" s="12">
        <v>18869.759999999998</v>
      </c>
      <c r="S64" s="9">
        <f>12076.65</f>
        <v>12076.65</v>
      </c>
    </row>
    <row r="65" spans="1:19" ht="45" customHeight="1" x14ac:dyDescent="0.25">
      <c r="A65" s="21"/>
      <c r="B65" s="22"/>
      <c r="C65" s="21"/>
      <c r="D65" s="21"/>
      <c r="E65" s="21"/>
      <c r="F65" s="23"/>
      <c r="G65" s="21"/>
      <c r="H65" s="24"/>
      <c r="I65" s="24"/>
      <c r="J65" s="25"/>
      <c r="K65" s="26"/>
      <c r="L65" s="27"/>
      <c r="M65" s="21"/>
      <c r="N65" s="28"/>
      <c r="O65" s="21"/>
      <c r="P65" s="11">
        <v>3</v>
      </c>
      <c r="Q65" s="4" t="s">
        <v>47</v>
      </c>
      <c r="R65" s="12">
        <v>18869.759999999998</v>
      </c>
      <c r="S65" s="9">
        <f>12076.65</f>
        <v>12076.65</v>
      </c>
    </row>
    <row r="66" spans="1:19" ht="45" customHeight="1" x14ac:dyDescent="0.25">
      <c r="A66" s="29"/>
      <c r="B66" s="30"/>
      <c r="C66" s="29"/>
      <c r="D66" s="29"/>
      <c r="E66" s="29"/>
      <c r="F66" s="31"/>
      <c r="G66" s="29"/>
      <c r="H66" s="32"/>
      <c r="I66" s="32"/>
      <c r="J66" s="33"/>
      <c r="K66" s="34"/>
      <c r="L66" s="35"/>
      <c r="M66" s="29"/>
      <c r="N66" s="36"/>
      <c r="O66" s="29"/>
      <c r="P66" s="11">
        <v>4</v>
      </c>
      <c r="Q66" s="4" t="s">
        <v>48</v>
      </c>
      <c r="R66" s="12">
        <v>19303.759999999998</v>
      </c>
      <c r="S66" s="9">
        <f>12354.41</f>
        <v>12354.41</v>
      </c>
    </row>
    <row r="67" spans="1:19" ht="45" customHeight="1" x14ac:dyDescent="0.25">
      <c r="A67" s="4" t="s">
        <v>19</v>
      </c>
      <c r="B67" s="5" t="s">
        <v>90</v>
      </c>
      <c r="C67" s="4"/>
      <c r="D67" s="4"/>
      <c r="E67" s="4" t="s">
        <v>91</v>
      </c>
      <c r="F67" s="6"/>
      <c r="G67" s="4"/>
      <c r="H67" s="7"/>
      <c r="I67" s="7"/>
      <c r="J67" s="8"/>
      <c r="K67" s="9"/>
      <c r="L67" s="10">
        <f>92913.28</f>
        <v>92913.279999999999</v>
      </c>
      <c r="M67" s="4"/>
      <c r="N67" s="11"/>
      <c r="O67" s="4"/>
      <c r="P67" s="11"/>
      <c r="Q67" s="4"/>
      <c r="R67" s="12"/>
      <c r="S67" s="9"/>
    </row>
    <row r="68" spans="1:19" ht="45" customHeight="1" x14ac:dyDescent="0.25">
      <c r="A68" s="4" t="s">
        <v>22</v>
      </c>
      <c r="B68" s="5" t="s">
        <v>92</v>
      </c>
      <c r="C68" s="4" t="s">
        <v>43</v>
      </c>
      <c r="D68" s="4" t="s">
        <v>93</v>
      </c>
      <c r="E68" s="4" t="s">
        <v>94</v>
      </c>
      <c r="F68" s="6">
        <f>13</f>
        <v>13</v>
      </c>
      <c r="G68" s="4" t="s">
        <v>95</v>
      </c>
      <c r="H68" s="7">
        <v>264.73</v>
      </c>
      <c r="I68" s="7">
        <v>166.65</v>
      </c>
      <c r="J68" s="8" t="s">
        <v>28</v>
      </c>
      <c r="K68" s="9">
        <f>205.61</f>
        <v>205.61</v>
      </c>
      <c r="L68" s="10">
        <f>2672.93</f>
        <v>2672.93</v>
      </c>
      <c r="M68" s="4"/>
      <c r="N68" s="11">
        <v>6</v>
      </c>
      <c r="O68" s="4" t="s">
        <v>91</v>
      </c>
      <c r="P68" s="11">
        <v>4</v>
      </c>
      <c r="Q68" s="4" t="s">
        <v>48</v>
      </c>
      <c r="R68" s="12">
        <v>13</v>
      </c>
      <c r="S68" s="9">
        <f>2672.93</f>
        <v>2672.93</v>
      </c>
    </row>
    <row r="69" spans="1:19" ht="45" customHeight="1" x14ac:dyDescent="0.25">
      <c r="A69" s="4" t="s">
        <v>22</v>
      </c>
      <c r="B69" s="5" t="s">
        <v>96</v>
      </c>
      <c r="C69" s="4" t="s">
        <v>43</v>
      </c>
      <c r="D69" s="4" t="s">
        <v>97</v>
      </c>
      <c r="E69" s="4" t="s">
        <v>98</v>
      </c>
      <c r="F69" s="6">
        <f>29.95</f>
        <v>29.95</v>
      </c>
      <c r="G69" s="4" t="s">
        <v>52</v>
      </c>
      <c r="H69" s="7">
        <v>6.98</v>
      </c>
      <c r="I69" s="7">
        <v>4.3899999999999997</v>
      </c>
      <c r="J69" s="8" t="s">
        <v>28</v>
      </c>
      <c r="K69" s="9">
        <f>5.42</f>
        <v>5.42</v>
      </c>
      <c r="L69" s="10">
        <f>162.33</f>
        <v>162.33000000000001</v>
      </c>
      <c r="M69" s="4"/>
      <c r="N69" s="11">
        <v>6</v>
      </c>
      <c r="O69" s="4" t="s">
        <v>91</v>
      </c>
      <c r="P69" s="11">
        <v>4</v>
      </c>
      <c r="Q69" s="4" t="s">
        <v>48</v>
      </c>
      <c r="R69" s="12">
        <v>29.95</v>
      </c>
      <c r="S69" s="9">
        <f>162.33</f>
        <v>162.33000000000001</v>
      </c>
    </row>
    <row r="70" spans="1:19" ht="45" customHeight="1" x14ac:dyDescent="0.25">
      <c r="A70" s="4" t="s">
        <v>22</v>
      </c>
      <c r="B70" s="5" t="s">
        <v>99</v>
      </c>
      <c r="C70" s="4" t="s">
        <v>24</v>
      </c>
      <c r="D70" s="4" t="s">
        <v>100</v>
      </c>
      <c r="E70" s="4" t="s">
        <v>101</v>
      </c>
      <c r="F70" s="6">
        <f>19.5</f>
        <v>19.5</v>
      </c>
      <c r="G70" s="4" t="s">
        <v>27</v>
      </c>
      <c r="H70" s="7">
        <v>6.94</v>
      </c>
      <c r="I70" s="7">
        <v>4.37</v>
      </c>
      <c r="J70" s="8" t="s">
        <v>28</v>
      </c>
      <c r="K70" s="9">
        <f>5.39</f>
        <v>5.39</v>
      </c>
      <c r="L70" s="10">
        <f>105.11</f>
        <v>105.11</v>
      </c>
      <c r="M70" s="4"/>
      <c r="N70" s="11">
        <v>6</v>
      </c>
      <c r="O70" s="4" t="s">
        <v>91</v>
      </c>
      <c r="P70" s="11">
        <v>4</v>
      </c>
      <c r="Q70" s="4" t="s">
        <v>48</v>
      </c>
      <c r="R70" s="12">
        <v>19.5</v>
      </c>
      <c r="S70" s="9">
        <f>105.11</f>
        <v>105.11</v>
      </c>
    </row>
    <row r="71" spans="1:19" ht="45" customHeight="1" x14ac:dyDescent="0.25">
      <c r="A71" s="4" t="s">
        <v>22</v>
      </c>
      <c r="B71" s="5" t="s">
        <v>102</v>
      </c>
      <c r="C71" s="4" t="s">
        <v>43</v>
      </c>
      <c r="D71" s="4" t="s">
        <v>103</v>
      </c>
      <c r="E71" s="4" t="s">
        <v>104</v>
      </c>
      <c r="F71" s="6">
        <f>5.85</f>
        <v>5.85</v>
      </c>
      <c r="G71" s="4" t="s">
        <v>52</v>
      </c>
      <c r="H71" s="7">
        <v>454.84</v>
      </c>
      <c r="I71" s="7">
        <v>286.32</v>
      </c>
      <c r="J71" s="8" t="s">
        <v>28</v>
      </c>
      <c r="K71" s="9">
        <f>353.26</f>
        <v>353.26</v>
      </c>
      <c r="L71" s="10">
        <f>2066.57</f>
        <v>2066.5700000000002</v>
      </c>
      <c r="M71" s="4"/>
      <c r="N71" s="11">
        <v>6</v>
      </c>
      <c r="O71" s="4" t="s">
        <v>91</v>
      </c>
      <c r="P71" s="11">
        <v>4</v>
      </c>
      <c r="Q71" s="4" t="s">
        <v>48</v>
      </c>
      <c r="R71" s="12">
        <v>5.85</v>
      </c>
      <c r="S71" s="9">
        <f>2066.57</f>
        <v>2066.5700000000002</v>
      </c>
    </row>
    <row r="72" spans="1:19" ht="45" customHeight="1" x14ac:dyDescent="0.25">
      <c r="A72" s="4" t="s">
        <v>22</v>
      </c>
      <c r="B72" s="5" t="s">
        <v>105</v>
      </c>
      <c r="C72" s="4" t="s">
        <v>43</v>
      </c>
      <c r="D72" s="4" t="s">
        <v>106</v>
      </c>
      <c r="E72" s="4" t="s">
        <v>107</v>
      </c>
      <c r="F72" s="6">
        <f>29.25</f>
        <v>29.25</v>
      </c>
      <c r="G72" s="4" t="s">
        <v>52</v>
      </c>
      <c r="H72" s="7">
        <v>18.47</v>
      </c>
      <c r="I72" s="7">
        <v>11.63</v>
      </c>
      <c r="J72" s="8" t="s">
        <v>28</v>
      </c>
      <c r="K72" s="9">
        <f>14.35</f>
        <v>14.35</v>
      </c>
      <c r="L72" s="10">
        <f>419.74</f>
        <v>419.74</v>
      </c>
      <c r="M72" s="4"/>
      <c r="N72" s="11">
        <v>6</v>
      </c>
      <c r="O72" s="4" t="s">
        <v>91</v>
      </c>
      <c r="P72" s="11">
        <v>4</v>
      </c>
      <c r="Q72" s="4" t="s">
        <v>48</v>
      </c>
      <c r="R72" s="12">
        <v>29.25</v>
      </c>
      <c r="S72" s="9">
        <f>419.74</f>
        <v>419.74</v>
      </c>
    </row>
    <row r="73" spans="1:19" ht="45" customHeight="1" x14ac:dyDescent="0.25">
      <c r="A73" s="4" t="s">
        <v>22</v>
      </c>
      <c r="B73" s="5" t="s">
        <v>108</v>
      </c>
      <c r="C73" s="4" t="s">
        <v>43</v>
      </c>
      <c r="D73" s="4" t="s">
        <v>109</v>
      </c>
      <c r="E73" s="4" t="s">
        <v>110</v>
      </c>
      <c r="F73" s="6">
        <f>2</f>
        <v>2</v>
      </c>
      <c r="G73" s="4" t="s">
        <v>36</v>
      </c>
      <c r="H73" s="7">
        <v>1319.65</v>
      </c>
      <c r="I73" s="7">
        <v>830.72</v>
      </c>
      <c r="J73" s="8" t="s">
        <v>28</v>
      </c>
      <c r="K73" s="9">
        <f>1024.94</f>
        <v>1024.94</v>
      </c>
      <c r="L73" s="10">
        <f>2049.88</f>
        <v>2049.88</v>
      </c>
      <c r="M73" s="4"/>
      <c r="N73" s="11">
        <v>6</v>
      </c>
      <c r="O73" s="4" t="s">
        <v>91</v>
      </c>
      <c r="P73" s="11">
        <v>4</v>
      </c>
      <c r="Q73" s="4" t="s">
        <v>48</v>
      </c>
      <c r="R73" s="12">
        <v>2</v>
      </c>
      <c r="S73" s="9">
        <f>2049.88</f>
        <v>2049.88</v>
      </c>
    </row>
    <row r="74" spans="1:19" ht="45" customHeight="1" x14ac:dyDescent="0.25">
      <c r="A74" s="4" t="s">
        <v>22</v>
      </c>
      <c r="B74" s="5" t="s">
        <v>111</v>
      </c>
      <c r="C74" s="4" t="s">
        <v>43</v>
      </c>
      <c r="D74" s="4" t="s">
        <v>112</v>
      </c>
      <c r="E74" s="4" t="s">
        <v>113</v>
      </c>
      <c r="F74" s="6">
        <f>2</f>
        <v>2</v>
      </c>
      <c r="G74" s="4" t="s">
        <v>36</v>
      </c>
      <c r="H74" s="7">
        <v>6881.15</v>
      </c>
      <c r="I74" s="7">
        <v>4331.68</v>
      </c>
      <c r="J74" s="8" t="s">
        <v>28</v>
      </c>
      <c r="K74" s="9">
        <f>5344.43</f>
        <v>5344.43</v>
      </c>
      <c r="L74" s="10">
        <f>10688.86</f>
        <v>10688.86</v>
      </c>
      <c r="M74" s="4"/>
      <c r="N74" s="11">
        <v>6</v>
      </c>
      <c r="O74" s="4" t="s">
        <v>91</v>
      </c>
      <c r="P74" s="11">
        <v>4</v>
      </c>
      <c r="Q74" s="4" t="s">
        <v>48</v>
      </c>
      <c r="R74" s="12">
        <v>2</v>
      </c>
      <c r="S74" s="9">
        <f>10688.86</f>
        <v>10688.86</v>
      </c>
    </row>
    <row r="75" spans="1:19" ht="45" customHeight="1" x14ac:dyDescent="0.25">
      <c r="A75" s="13" t="s">
        <v>22</v>
      </c>
      <c r="B75" s="14" t="s">
        <v>114</v>
      </c>
      <c r="C75" s="13" t="s">
        <v>43</v>
      </c>
      <c r="D75" s="13" t="s">
        <v>115</v>
      </c>
      <c r="E75" s="13" t="s">
        <v>116</v>
      </c>
      <c r="F75" s="15">
        <f>517</f>
        <v>517</v>
      </c>
      <c r="G75" s="13" t="s">
        <v>95</v>
      </c>
      <c r="H75" s="16">
        <v>186.15</v>
      </c>
      <c r="I75" s="16">
        <v>117.18</v>
      </c>
      <c r="J75" s="17" t="s">
        <v>28</v>
      </c>
      <c r="K75" s="18">
        <f>144.58</f>
        <v>144.58000000000001</v>
      </c>
      <c r="L75" s="19">
        <f>74747.86</f>
        <v>74747.86</v>
      </c>
      <c r="M75" s="13"/>
      <c r="N75" s="20">
        <v>6</v>
      </c>
      <c r="O75" s="13" t="s">
        <v>91</v>
      </c>
      <c r="P75" s="11">
        <v>3</v>
      </c>
      <c r="Q75" s="4" t="s">
        <v>47</v>
      </c>
      <c r="R75" s="12">
        <v>240</v>
      </c>
      <c r="S75" s="9">
        <f>34699.2</f>
        <v>34699.199999999997</v>
      </c>
    </row>
    <row r="76" spans="1:19" ht="45" customHeight="1" x14ac:dyDescent="0.25">
      <c r="A76" s="29"/>
      <c r="B76" s="30"/>
      <c r="C76" s="29"/>
      <c r="D76" s="29"/>
      <c r="E76" s="29"/>
      <c r="F76" s="31"/>
      <c r="G76" s="29"/>
      <c r="H76" s="32"/>
      <c r="I76" s="32"/>
      <c r="J76" s="33"/>
      <c r="K76" s="34"/>
      <c r="L76" s="35"/>
      <c r="M76" s="29"/>
      <c r="N76" s="36"/>
      <c r="O76" s="29"/>
      <c r="P76" s="11">
        <v>4</v>
      </c>
      <c r="Q76" s="4" t="s">
        <v>48</v>
      </c>
      <c r="R76" s="12">
        <v>277</v>
      </c>
      <c r="S76" s="9">
        <f>40048.66</f>
        <v>40048.660000000003</v>
      </c>
    </row>
    <row r="77" spans="1:19" ht="45" customHeight="1" x14ac:dyDescent="0.25">
      <c r="A77" s="4" t="s">
        <v>19</v>
      </c>
      <c r="B77" s="5" t="s">
        <v>117</v>
      </c>
      <c r="C77" s="4"/>
      <c r="D77" s="4"/>
      <c r="E77" s="4" t="s">
        <v>118</v>
      </c>
      <c r="F77" s="6"/>
      <c r="G77" s="4"/>
      <c r="H77" s="7"/>
      <c r="I77" s="7"/>
      <c r="J77" s="8"/>
      <c r="K77" s="9"/>
      <c r="L77" s="10">
        <f>81269.44</f>
        <v>81269.440000000002</v>
      </c>
      <c r="M77" s="4"/>
      <c r="N77" s="11"/>
      <c r="O77" s="4"/>
      <c r="P77" s="11"/>
      <c r="Q77" s="4"/>
      <c r="R77" s="12"/>
      <c r="S77" s="9"/>
    </row>
    <row r="78" spans="1:19" ht="45" customHeight="1" x14ac:dyDescent="0.25">
      <c r="A78" s="13" t="s">
        <v>22</v>
      </c>
      <c r="B78" s="14" t="s">
        <v>119</v>
      </c>
      <c r="C78" s="13" t="s">
        <v>43</v>
      </c>
      <c r="D78" s="13" t="s">
        <v>120</v>
      </c>
      <c r="E78" s="13" t="s">
        <v>121</v>
      </c>
      <c r="F78" s="15">
        <f>917</f>
        <v>917</v>
      </c>
      <c r="G78" s="13" t="s">
        <v>95</v>
      </c>
      <c r="H78" s="16">
        <v>77.86</v>
      </c>
      <c r="I78" s="16">
        <v>49.01</v>
      </c>
      <c r="J78" s="17" t="s">
        <v>28</v>
      </c>
      <c r="K78" s="18">
        <f>60.47</f>
        <v>60.47</v>
      </c>
      <c r="L78" s="19">
        <f>55450.99</f>
        <v>55450.99</v>
      </c>
      <c r="M78" s="13"/>
      <c r="N78" s="20">
        <v>7</v>
      </c>
      <c r="O78" s="13" t="s">
        <v>118</v>
      </c>
      <c r="P78" s="11">
        <v>2</v>
      </c>
      <c r="Q78" s="4" t="s">
        <v>46</v>
      </c>
      <c r="R78" s="12">
        <v>98</v>
      </c>
      <c r="S78" s="9">
        <f>5926.06</f>
        <v>5926.06</v>
      </c>
    </row>
    <row r="79" spans="1:19" ht="45" customHeight="1" x14ac:dyDescent="0.25">
      <c r="A79" s="21"/>
      <c r="B79" s="22"/>
      <c r="C79" s="21"/>
      <c r="D79" s="21"/>
      <c r="E79" s="21"/>
      <c r="F79" s="23"/>
      <c r="G79" s="21"/>
      <c r="H79" s="24"/>
      <c r="I79" s="24"/>
      <c r="J79" s="25"/>
      <c r="K79" s="26"/>
      <c r="L79" s="27"/>
      <c r="M79" s="21"/>
      <c r="N79" s="28"/>
      <c r="O79" s="21"/>
      <c r="P79" s="11">
        <v>3</v>
      </c>
      <c r="Q79" s="4" t="s">
        <v>47</v>
      </c>
      <c r="R79" s="12">
        <v>529</v>
      </c>
      <c r="S79" s="9">
        <f>31988.63</f>
        <v>31988.63</v>
      </c>
    </row>
    <row r="80" spans="1:19" ht="45" customHeight="1" x14ac:dyDescent="0.25">
      <c r="A80" s="29"/>
      <c r="B80" s="30"/>
      <c r="C80" s="29"/>
      <c r="D80" s="29"/>
      <c r="E80" s="29"/>
      <c r="F80" s="31"/>
      <c r="G80" s="29"/>
      <c r="H80" s="32"/>
      <c r="I80" s="32"/>
      <c r="J80" s="33"/>
      <c r="K80" s="34"/>
      <c r="L80" s="35"/>
      <c r="M80" s="29"/>
      <c r="N80" s="36"/>
      <c r="O80" s="29"/>
      <c r="P80" s="11">
        <v>4</v>
      </c>
      <c r="Q80" s="4" t="s">
        <v>48</v>
      </c>
      <c r="R80" s="12">
        <v>290</v>
      </c>
      <c r="S80" s="9">
        <f>17536.3</f>
        <v>17536.3</v>
      </c>
    </row>
    <row r="81" spans="1:19" ht="45" customHeight="1" x14ac:dyDescent="0.25">
      <c r="A81" s="4" t="s">
        <v>22</v>
      </c>
      <c r="B81" s="5" t="s">
        <v>122</v>
      </c>
      <c r="C81" s="4" t="s">
        <v>43</v>
      </c>
      <c r="D81" s="4" t="s">
        <v>123</v>
      </c>
      <c r="E81" s="4" t="s">
        <v>124</v>
      </c>
      <c r="F81" s="6">
        <f>61</f>
        <v>61</v>
      </c>
      <c r="G81" s="4" t="s">
        <v>95</v>
      </c>
      <c r="H81" s="7">
        <v>71.290000000000006</v>
      </c>
      <c r="I81" s="7">
        <v>44.88</v>
      </c>
      <c r="J81" s="8" t="s">
        <v>28</v>
      </c>
      <c r="K81" s="9">
        <f>55.37</f>
        <v>55.37</v>
      </c>
      <c r="L81" s="10">
        <f>3377.57</f>
        <v>3377.57</v>
      </c>
      <c r="M81" s="4"/>
      <c r="N81" s="11">
        <v>7</v>
      </c>
      <c r="O81" s="4" t="s">
        <v>118</v>
      </c>
      <c r="P81" s="11">
        <v>4</v>
      </c>
      <c r="Q81" s="4" t="s">
        <v>48</v>
      </c>
      <c r="R81" s="12">
        <v>61</v>
      </c>
      <c r="S81" s="9">
        <f>3377.57</f>
        <v>3377.57</v>
      </c>
    </row>
    <row r="82" spans="1:19" ht="45" customHeight="1" x14ac:dyDescent="0.25">
      <c r="A82" s="13" t="s">
        <v>22</v>
      </c>
      <c r="B82" s="14" t="s">
        <v>125</v>
      </c>
      <c r="C82" s="13" t="s">
        <v>43</v>
      </c>
      <c r="D82" s="13" t="s">
        <v>126</v>
      </c>
      <c r="E82" s="13" t="s">
        <v>127</v>
      </c>
      <c r="F82" s="15">
        <f>287.79</f>
        <v>287.79000000000002</v>
      </c>
      <c r="G82" s="13" t="s">
        <v>95</v>
      </c>
      <c r="H82" s="16">
        <v>66.83</v>
      </c>
      <c r="I82" s="16">
        <v>42.07</v>
      </c>
      <c r="J82" s="17" t="s">
        <v>28</v>
      </c>
      <c r="K82" s="18">
        <f>51.91</f>
        <v>51.91</v>
      </c>
      <c r="L82" s="19">
        <f>14939.18</f>
        <v>14939.18</v>
      </c>
      <c r="M82" s="13"/>
      <c r="N82" s="20">
        <v>7</v>
      </c>
      <c r="O82" s="13" t="s">
        <v>118</v>
      </c>
      <c r="P82" s="11">
        <v>1</v>
      </c>
      <c r="Q82" s="4" t="s">
        <v>29</v>
      </c>
      <c r="R82" s="12">
        <v>7.78</v>
      </c>
      <c r="S82" s="9">
        <f>403.86</f>
        <v>403.86</v>
      </c>
    </row>
    <row r="83" spans="1:19" ht="45" customHeight="1" x14ac:dyDescent="0.25">
      <c r="A83" s="29"/>
      <c r="B83" s="30"/>
      <c r="C83" s="29"/>
      <c r="D83" s="29"/>
      <c r="E83" s="29"/>
      <c r="F83" s="31"/>
      <c r="G83" s="29"/>
      <c r="H83" s="32"/>
      <c r="I83" s="32"/>
      <c r="J83" s="33"/>
      <c r="K83" s="34"/>
      <c r="L83" s="35"/>
      <c r="M83" s="29"/>
      <c r="N83" s="36"/>
      <c r="O83" s="29"/>
      <c r="P83" s="11">
        <v>2</v>
      </c>
      <c r="Q83" s="4" t="s">
        <v>46</v>
      </c>
      <c r="R83" s="12">
        <v>280.01</v>
      </c>
      <c r="S83" s="9">
        <f>14535.32</f>
        <v>14535.32</v>
      </c>
    </row>
    <row r="84" spans="1:19" ht="45" customHeight="1" x14ac:dyDescent="0.25">
      <c r="A84" s="13" t="s">
        <v>22</v>
      </c>
      <c r="B84" s="14" t="s">
        <v>128</v>
      </c>
      <c r="C84" s="13" t="s">
        <v>43</v>
      </c>
      <c r="D84" s="13" t="s">
        <v>129</v>
      </c>
      <c r="E84" s="13" t="s">
        <v>130</v>
      </c>
      <c r="F84" s="15">
        <f>24</f>
        <v>24</v>
      </c>
      <c r="G84" s="13" t="s">
        <v>95</v>
      </c>
      <c r="H84" s="16">
        <v>123.75</v>
      </c>
      <c r="I84" s="16">
        <v>77.900000000000006</v>
      </c>
      <c r="J84" s="17" t="s">
        <v>28</v>
      </c>
      <c r="K84" s="18">
        <f>96.11</f>
        <v>96.11</v>
      </c>
      <c r="L84" s="19">
        <f>2306.64</f>
        <v>2306.64</v>
      </c>
      <c r="M84" s="13"/>
      <c r="N84" s="20">
        <v>7</v>
      </c>
      <c r="O84" s="13" t="s">
        <v>118</v>
      </c>
      <c r="P84" s="11">
        <v>2</v>
      </c>
      <c r="Q84" s="4" t="s">
        <v>46</v>
      </c>
      <c r="R84" s="12">
        <v>19</v>
      </c>
      <c r="S84" s="9">
        <f>1826.09</f>
        <v>1826.09</v>
      </c>
    </row>
    <row r="85" spans="1:19" ht="45" customHeight="1" x14ac:dyDescent="0.25">
      <c r="A85" s="29"/>
      <c r="B85" s="30"/>
      <c r="C85" s="29"/>
      <c r="D85" s="29"/>
      <c r="E85" s="29"/>
      <c r="F85" s="31"/>
      <c r="G85" s="29"/>
      <c r="H85" s="32"/>
      <c r="I85" s="32"/>
      <c r="J85" s="33"/>
      <c r="K85" s="34"/>
      <c r="L85" s="35"/>
      <c r="M85" s="29"/>
      <c r="N85" s="36"/>
      <c r="O85" s="29"/>
      <c r="P85" s="11">
        <v>3</v>
      </c>
      <c r="Q85" s="4" t="s">
        <v>47</v>
      </c>
      <c r="R85" s="12">
        <v>5</v>
      </c>
      <c r="S85" s="9">
        <f>480.55</f>
        <v>480.55</v>
      </c>
    </row>
    <row r="86" spans="1:19" ht="45" customHeight="1" x14ac:dyDescent="0.25">
      <c r="A86" s="13" t="s">
        <v>22</v>
      </c>
      <c r="B86" s="14" t="s">
        <v>131</v>
      </c>
      <c r="C86" s="13" t="s">
        <v>43</v>
      </c>
      <c r="D86" s="13" t="s">
        <v>132</v>
      </c>
      <c r="E86" s="13" t="s">
        <v>133</v>
      </c>
      <c r="F86" s="15">
        <f>6</f>
        <v>6</v>
      </c>
      <c r="G86" s="13" t="s">
        <v>36</v>
      </c>
      <c r="H86" s="16">
        <v>966.31</v>
      </c>
      <c r="I86" s="16">
        <v>608.29</v>
      </c>
      <c r="J86" s="17" t="s">
        <v>28</v>
      </c>
      <c r="K86" s="18">
        <f>750.51</f>
        <v>750.51</v>
      </c>
      <c r="L86" s="19">
        <f>4503.06</f>
        <v>4503.0600000000004</v>
      </c>
      <c r="M86" s="13"/>
      <c r="N86" s="20">
        <v>7</v>
      </c>
      <c r="O86" s="13" t="s">
        <v>118</v>
      </c>
      <c r="P86" s="11">
        <v>2</v>
      </c>
      <c r="Q86" s="4" t="s">
        <v>46</v>
      </c>
      <c r="R86" s="12">
        <v>4</v>
      </c>
      <c r="S86" s="9">
        <f>3002.04</f>
        <v>3002.04</v>
      </c>
    </row>
    <row r="87" spans="1:19" ht="45" customHeight="1" x14ac:dyDescent="0.25">
      <c r="A87" s="29"/>
      <c r="B87" s="30"/>
      <c r="C87" s="29"/>
      <c r="D87" s="29"/>
      <c r="E87" s="29"/>
      <c r="F87" s="31"/>
      <c r="G87" s="29"/>
      <c r="H87" s="32"/>
      <c r="I87" s="32"/>
      <c r="J87" s="33"/>
      <c r="K87" s="34"/>
      <c r="L87" s="35"/>
      <c r="M87" s="29"/>
      <c r="N87" s="36"/>
      <c r="O87" s="29"/>
      <c r="P87" s="11">
        <v>3</v>
      </c>
      <c r="Q87" s="4" t="s">
        <v>47</v>
      </c>
      <c r="R87" s="12">
        <v>2</v>
      </c>
      <c r="S87" s="9">
        <f>1501.02</f>
        <v>1501.02</v>
      </c>
    </row>
    <row r="88" spans="1:19" ht="45" customHeight="1" x14ac:dyDescent="0.25">
      <c r="A88" s="4" t="s">
        <v>22</v>
      </c>
      <c r="B88" s="5" t="s">
        <v>134</v>
      </c>
      <c r="C88" s="4" t="s">
        <v>33</v>
      </c>
      <c r="D88" s="4" t="s">
        <v>79</v>
      </c>
      <c r="E88" s="4" t="s">
        <v>135</v>
      </c>
      <c r="F88" s="6">
        <f>1</f>
        <v>1</v>
      </c>
      <c r="G88" s="4" t="s">
        <v>36</v>
      </c>
      <c r="H88" s="7">
        <v>890.97</v>
      </c>
      <c r="I88" s="7">
        <v>560.87</v>
      </c>
      <c r="J88" s="8" t="s">
        <v>28</v>
      </c>
      <c r="K88" s="9">
        <f>692</f>
        <v>692</v>
      </c>
      <c r="L88" s="10">
        <f>692</f>
        <v>692</v>
      </c>
      <c r="M88" s="4"/>
      <c r="N88" s="11">
        <v>7</v>
      </c>
      <c r="O88" s="4" t="s">
        <v>118</v>
      </c>
      <c r="P88" s="11">
        <v>1</v>
      </c>
      <c r="Q88" s="4" t="s">
        <v>29</v>
      </c>
      <c r="R88" s="12">
        <v>1</v>
      </c>
      <c r="S88" s="9">
        <f>692</f>
        <v>692</v>
      </c>
    </row>
    <row r="89" spans="1:19" ht="45" customHeight="1" x14ac:dyDescent="0.25">
      <c r="A89" s="4" t="s">
        <v>19</v>
      </c>
      <c r="B89" s="5" t="s">
        <v>136</v>
      </c>
      <c r="C89" s="4"/>
      <c r="D89" s="4"/>
      <c r="E89" s="4" t="s">
        <v>137</v>
      </c>
      <c r="F89" s="6"/>
      <c r="G89" s="4"/>
      <c r="H89" s="7"/>
      <c r="I89" s="7"/>
      <c r="J89" s="8"/>
      <c r="K89" s="9"/>
      <c r="L89" s="10">
        <f>26900.66</f>
        <v>26900.66</v>
      </c>
      <c r="M89" s="4"/>
      <c r="N89" s="11"/>
      <c r="O89" s="4"/>
      <c r="P89" s="11"/>
      <c r="Q89" s="4"/>
      <c r="R89" s="12"/>
      <c r="S89" s="9"/>
    </row>
    <row r="90" spans="1:19" ht="45" customHeight="1" x14ac:dyDescent="0.25">
      <c r="A90" s="13" t="s">
        <v>22</v>
      </c>
      <c r="B90" s="14" t="s">
        <v>138</v>
      </c>
      <c r="C90" s="13" t="s">
        <v>43</v>
      </c>
      <c r="D90" s="13" t="s">
        <v>139</v>
      </c>
      <c r="E90" s="13" t="s">
        <v>140</v>
      </c>
      <c r="F90" s="15">
        <f>482.76</f>
        <v>482.76</v>
      </c>
      <c r="G90" s="13" t="s">
        <v>27</v>
      </c>
      <c r="H90" s="16">
        <v>27.46</v>
      </c>
      <c r="I90" s="16">
        <v>17.29</v>
      </c>
      <c r="J90" s="17" t="s">
        <v>28</v>
      </c>
      <c r="K90" s="18">
        <f>21.33</f>
        <v>21.33</v>
      </c>
      <c r="L90" s="19">
        <f>10297.27</f>
        <v>10297.27</v>
      </c>
      <c r="M90" s="13"/>
      <c r="N90" s="20">
        <v>8</v>
      </c>
      <c r="O90" s="13" t="s">
        <v>137</v>
      </c>
      <c r="P90" s="11">
        <v>1</v>
      </c>
      <c r="Q90" s="4" t="s">
        <v>29</v>
      </c>
      <c r="R90" s="12">
        <v>120</v>
      </c>
      <c r="S90" s="9">
        <f>2559.6</f>
        <v>2559.6</v>
      </c>
    </row>
    <row r="91" spans="1:19" ht="45" customHeight="1" x14ac:dyDescent="0.25">
      <c r="A91" s="21"/>
      <c r="B91" s="22"/>
      <c r="C91" s="21"/>
      <c r="D91" s="21"/>
      <c r="E91" s="21"/>
      <c r="F91" s="23"/>
      <c r="G91" s="21"/>
      <c r="H91" s="24"/>
      <c r="I91" s="24"/>
      <c r="J91" s="25"/>
      <c r="K91" s="26"/>
      <c r="L91" s="27"/>
      <c r="M91" s="21"/>
      <c r="N91" s="28"/>
      <c r="O91" s="21"/>
      <c r="P91" s="11">
        <v>2</v>
      </c>
      <c r="Q91" s="4" t="s">
        <v>46</v>
      </c>
      <c r="R91" s="12">
        <v>120</v>
      </c>
      <c r="S91" s="9">
        <f>2559.6</f>
        <v>2559.6</v>
      </c>
    </row>
    <row r="92" spans="1:19" ht="45" customHeight="1" x14ac:dyDescent="0.25">
      <c r="A92" s="21"/>
      <c r="B92" s="22"/>
      <c r="C92" s="21"/>
      <c r="D92" s="21"/>
      <c r="E92" s="21"/>
      <c r="F92" s="23"/>
      <c r="G92" s="21"/>
      <c r="H92" s="24"/>
      <c r="I92" s="24"/>
      <c r="J92" s="25"/>
      <c r="K92" s="26"/>
      <c r="L92" s="27"/>
      <c r="M92" s="21"/>
      <c r="N92" s="28"/>
      <c r="O92" s="21"/>
      <c r="P92" s="11">
        <v>3</v>
      </c>
      <c r="Q92" s="4" t="s">
        <v>47</v>
      </c>
      <c r="R92" s="12">
        <v>120</v>
      </c>
      <c r="S92" s="9">
        <f>2559.6</f>
        <v>2559.6</v>
      </c>
    </row>
    <row r="93" spans="1:19" ht="45" customHeight="1" x14ac:dyDescent="0.25">
      <c r="A93" s="29"/>
      <c r="B93" s="30"/>
      <c r="C93" s="29"/>
      <c r="D93" s="29"/>
      <c r="E93" s="29"/>
      <c r="F93" s="31"/>
      <c r="G93" s="29"/>
      <c r="H93" s="32"/>
      <c r="I93" s="32"/>
      <c r="J93" s="33"/>
      <c r="K93" s="34"/>
      <c r="L93" s="35"/>
      <c r="M93" s="29"/>
      <c r="N93" s="36"/>
      <c r="O93" s="29"/>
      <c r="P93" s="11">
        <v>4</v>
      </c>
      <c r="Q93" s="4" t="s">
        <v>48</v>
      </c>
      <c r="R93" s="12">
        <v>122.76</v>
      </c>
      <c r="S93" s="9">
        <f>2618.47</f>
        <v>2618.4699999999998</v>
      </c>
    </row>
    <row r="94" spans="1:19" ht="45" customHeight="1" x14ac:dyDescent="0.25">
      <c r="A94" s="13" t="s">
        <v>22</v>
      </c>
      <c r="B94" s="14" t="s">
        <v>141</v>
      </c>
      <c r="C94" s="13" t="s">
        <v>43</v>
      </c>
      <c r="D94" s="13" t="s">
        <v>142</v>
      </c>
      <c r="E94" s="13" t="s">
        <v>143</v>
      </c>
      <c r="F94" s="15">
        <f>2</f>
        <v>2</v>
      </c>
      <c r="G94" s="13" t="s">
        <v>36</v>
      </c>
      <c r="H94" s="16">
        <v>484.96</v>
      </c>
      <c r="I94" s="16">
        <v>305.27999999999997</v>
      </c>
      <c r="J94" s="17" t="s">
        <v>28</v>
      </c>
      <c r="K94" s="18">
        <f>376.65</f>
        <v>376.65</v>
      </c>
      <c r="L94" s="19">
        <f>753.3</f>
        <v>753.3</v>
      </c>
      <c r="M94" s="13"/>
      <c r="N94" s="20">
        <v>8</v>
      </c>
      <c r="O94" s="13" t="s">
        <v>137</v>
      </c>
      <c r="P94" s="11">
        <v>1</v>
      </c>
      <c r="Q94" s="4" t="s">
        <v>29</v>
      </c>
      <c r="R94" s="12">
        <v>1</v>
      </c>
      <c r="S94" s="9">
        <f>376.65</f>
        <v>376.65</v>
      </c>
    </row>
    <row r="95" spans="1:19" ht="45" customHeight="1" x14ac:dyDescent="0.25">
      <c r="A95" s="29"/>
      <c r="B95" s="30"/>
      <c r="C95" s="29"/>
      <c r="D95" s="29"/>
      <c r="E95" s="29"/>
      <c r="F95" s="31"/>
      <c r="G95" s="29"/>
      <c r="H95" s="32"/>
      <c r="I95" s="32"/>
      <c r="J95" s="33"/>
      <c r="K95" s="34"/>
      <c r="L95" s="35"/>
      <c r="M95" s="29"/>
      <c r="N95" s="36"/>
      <c r="O95" s="29"/>
      <c r="P95" s="11">
        <v>3</v>
      </c>
      <c r="Q95" s="4" t="s">
        <v>47</v>
      </c>
      <c r="R95" s="12">
        <v>1</v>
      </c>
      <c r="S95" s="9">
        <f>376.65</f>
        <v>376.65</v>
      </c>
    </row>
    <row r="96" spans="1:19" ht="45" customHeight="1" x14ac:dyDescent="0.25">
      <c r="A96" s="13" t="s">
        <v>22</v>
      </c>
      <c r="B96" s="14" t="s">
        <v>144</v>
      </c>
      <c r="C96" s="13" t="s">
        <v>43</v>
      </c>
      <c r="D96" s="13" t="s">
        <v>145</v>
      </c>
      <c r="E96" s="13" t="s">
        <v>146</v>
      </c>
      <c r="F96" s="15">
        <f>121</f>
        <v>121</v>
      </c>
      <c r="G96" s="13" t="s">
        <v>36</v>
      </c>
      <c r="H96" s="16">
        <v>38.119999999999997</v>
      </c>
      <c r="I96" s="16">
        <v>24</v>
      </c>
      <c r="J96" s="17" t="s">
        <v>28</v>
      </c>
      <c r="K96" s="18">
        <f>29.61</f>
        <v>29.61</v>
      </c>
      <c r="L96" s="19">
        <f>3582.81</f>
        <v>3582.81</v>
      </c>
      <c r="M96" s="13"/>
      <c r="N96" s="20">
        <v>8</v>
      </c>
      <c r="O96" s="13" t="s">
        <v>137</v>
      </c>
      <c r="P96" s="11">
        <v>1</v>
      </c>
      <c r="Q96" s="4" t="s">
        <v>29</v>
      </c>
      <c r="R96" s="12">
        <v>30</v>
      </c>
      <c r="S96" s="9">
        <f>888.3</f>
        <v>888.3</v>
      </c>
    </row>
    <row r="97" spans="1:19" ht="45" customHeight="1" x14ac:dyDescent="0.25">
      <c r="A97" s="21"/>
      <c r="B97" s="22"/>
      <c r="C97" s="21"/>
      <c r="D97" s="21"/>
      <c r="E97" s="21"/>
      <c r="F97" s="23"/>
      <c r="G97" s="21"/>
      <c r="H97" s="24"/>
      <c r="I97" s="24"/>
      <c r="J97" s="25"/>
      <c r="K97" s="26"/>
      <c r="L97" s="27"/>
      <c r="M97" s="21"/>
      <c r="N97" s="28"/>
      <c r="O97" s="21"/>
      <c r="P97" s="11">
        <v>2</v>
      </c>
      <c r="Q97" s="4" t="s">
        <v>46</v>
      </c>
      <c r="R97" s="12">
        <v>30</v>
      </c>
      <c r="S97" s="9">
        <f>888.3</f>
        <v>888.3</v>
      </c>
    </row>
    <row r="98" spans="1:19" ht="45" customHeight="1" x14ac:dyDescent="0.25">
      <c r="A98" s="21"/>
      <c r="B98" s="22"/>
      <c r="C98" s="21"/>
      <c r="D98" s="21"/>
      <c r="E98" s="21"/>
      <c r="F98" s="23"/>
      <c r="G98" s="21"/>
      <c r="H98" s="24"/>
      <c r="I98" s="24"/>
      <c r="J98" s="25"/>
      <c r="K98" s="26"/>
      <c r="L98" s="27"/>
      <c r="M98" s="21"/>
      <c r="N98" s="28"/>
      <c r="O98" s="21"/>
      <c r="P98" s="11">
        <v>3</v>
      </c>
      <c r="Q98" s="4" t="s">
        <v>47</v>
      </c>
      <c r="R98" s="12">
        <v>30</v>
      </c>
      <c r="S98" s="9">
        <f>888.3</f>
        <v>888.3</v>
      </c>
    </row>
    <row r="99" spans="1:19" ht="45" customHeight="1" x14ac:dyDescent="0.25">
      <c r="A99" s="29"/>
      <c r="B99" s="30"/>
      <c r="C99" s="29"/>
      <c r="D99" s="29"/>
      <c r="E99" s="29"/>
      <c r="F99" s="31"/>
      <c r="G99" s="29"/>
      <c r="H99" s="32"/>
      <c r="I99" s="32"/>
      <c r="J99" s="33"/>
      <c r="K99" s="34"/>
      <c r="L99" s="35"/>
      <c r="M99" s="29"/>
      <c r="N99" s="36"/>
      <c r="O99" s="29"/>
      <c r="P99" s="11">
        <v>4</v>
      </c>
      <c r="Q99" s="4" t="s">
        <v>48</v>
      </c>
      <c r="R99" s="12">
        <v>31</v>
      </c>
      <c r="S99" s="9">
        <f>917.91</f>
        <v>917.91</v>
      </c>
    </row>
    <row r="100" spans="1:19" ht="45" customHeight="1" x14ac:dyDescent="0.25">
      <c r="A100" s="13" t="s">
        <v>22</v>
      </c>
      <c r="B100" s="14" t="s">
        <v>147</v>
      </c>
      <c r="C100" s="13" t="s">
        <v>43</v>
      </c>
      <c r="D100" s="13" t="s">
        <v>148</v>
      </c>
      <c r="E100" s="13" t="s">
        <v>149</v>
      </c>
      <c r="F100" s="15">
        <f>242</f>
        <v>242</v>
      </c>
      <c r="G100" s="13" t="s">
        <v>36</v>
      </c>
      <c r="H100" s="16">
        <v>35.32</v>
      </c>
      <c r="I100" s="16">
        <v>22.23</v>
      </c>
      <c r="J100" s="17" t="s">
        <v>28</v>
      </c>
      <c r="K100" s="18">
        <f>27.43</f>
        <v>27.43</v>
      </c>
      <c r="L100" s="19">
        <f>6638.06</f>
        <v>6638.06</v>
      </c>
      <c r="M100" s="13"/>
      <c r="N100" s="20">
        <v>8</v>
      </c>
      <c r="O100" s="13" t="s">
        <v>137</v>
      </c>
      <c r="P100" s="11">
        <v>1</v>
      </c>
      <c r="Q100" s="4" t="s">
        <v>29</v>
      </c>
      <c r="R100" s="12">
        <v>60</v>
      </c>
      <c r="S100" s="9">
        <f>1645.8</f>
        <v>1645.8</v>
      </c>
    </row>
    <row r="101" spans="1:19" ht="45" customHeight="1" x14ac:dyDescent="0.25">
      <c r="A101" s="21"/>
      <c r="B101" s="22"/>
      <c r="C101" s="21"/>
      <c r="D101" s="21"/>
      <c r="E101" s="21"/>
      <c r="F101" s="23"/>
      <c r="G101" s="21"/>
      <c r="H101" s="24"/>
      <c r="I101" s="24"/>
      <c r="J101" s="25"/>
      <c r="K101" s="26"/>
      <c r="L101" s="27"/>
      <c r="M101" s="21"/>
      <c r="N101" s="28"/>
      <c r="O101" s="21"/>
      <c r="P101" s="11">
        <v>2</v>
      </c>
      <c r="Q101" s="4" t="s">
        <v>46</v>
      </c>
      <c r="R101" s="12">
        <v>60</v>
      </c>
      <c r="S101" s="9">
        <f>1645.8</f>
        <v>1645.8</v>
      </c>
    </row>
    <row r="102" spans="1:19" ht="45" customHeight="1" x14ac:dyDescent="0.25">
      <c r="A102" s="21"/>
      <c r="B102" s="22"/>
      <c r="C102" s="21"/>
      <c r="D102" s="21"/>
      <c r="E102" s="21"/>
      <c r="F102" s="23"/>
      <c r="G102" s="21"/>
      <c r="H102" s="24"/>
      <c r="I102" s="24"/>
      <c r="J102" s="25"/>
      <c r="K102" s="26"/>
      <c r="L102" s="27"/>
      <c r="M102" s="21"/>
      <c r="N102" s="28"/>
      <c r="O102" s="21"/>
      <c r="P102" s="11">
        <v>3</v>
      </c>
      <c r="Q102" s="4" t="s">
        <v>47</v>
      </c>
      <c r="R102" s="12">
        <v>60</v>
      </c>
      <c r="S102" s="9">
        <f>1645.8</f>
        <v>1645.8</v>
      </c>
    </row>
    <row r="103" spans="1:19" ht="45" customHeight="1" x14ac:dyDescent="0.25">
      <c r="A103" s="29"/>
      <c r="B103" s="30"/>
      <c r="C103" s="29"/>
      <c r="D103" s="29"/>
      <c r="E103" s="29"/>
      <c r="F103" s="31"/>
      <c r="G103" s="29"/>
      <c r="H103" s="32"/>
      <c r="I103" s="32"/>
      <c r="J103" s="33"/>
      <c r="K103" s="34"/>
      <c r="L103" s="35"/>
      <c r="M103" s="29"/>
      <c r="N103" s="36"/>
      <c r="O103" s="29"/>
      <c r="P103" s="11">
        <v>4</v>
      </c>
      <c r="Q103" s="4" t="s">
        <v>48</v>
      </c>
      <c r="R103" s="12">
        <v>62</v>
      </c>
      <c r="S103" s="9">
        <f>1700.66</f>
        <v>1700.66</v>
      </c>
    </row>
    <row r="104" spans="1:19" ht="45" customHeight="1" x14ac:dyDescent="0.25">
      <c r="A104" s="13" t="s">
        <v>22</v>
      </c>
      <c r="B104" s="14" t="s">
        <v>150</v>
      </c>
      <c r="C104" s="13" t="s">
        <v>43</v>
      </c>
      <c r="D104" s="13" t="s">
        <v>151</v>
      </c>
      <c r="E104" s="13" t="s">
        <v>152</v>
      </c>
      <c r="F104" s="15">
        <f>4</f>
        <v>4</v>
      </c>
      <c r="G104" s="13" t="s">
        <v>36</v>
      </c>
      <c r="H104" s="16">
        <v>485</v>
      </c>
      <c r="I104" s="16">
        <v>305.31</v>
      </c>
      <c r="J104" s="17" t="s">
        <v>28</v>
      </c>
      <c r="K104" s="18">
        <f>376.69</f>
        <v>376.69</v>
      </c>
      <c r="L104" s="19">
        <f>1506.76</f>
        <v>1506.76</v>
      </c>
      <c r="M104" s="13"/>
      <c r="N104" s="20">
        <v>8</v>
      </c>
      <c r="O104" s="13" t="s">
        <v>137</v>
      </c>
      <c r="P104" s="11">
        <v>3</v>
      </c>
      <c r="Q104" s="4" t="s">
        <v>47</v>
      </c>
      <c r="R104" s="12">
        <v>3</v>
      </c>
      <c r="S104" s="9">
        <f>1130.07</f>
        <v>1130.07</v>
      </c>
    </row>
    <row r="105" spans="1:19" ht="45" customHeight="1" x14ac:dyDescent="0.25">
      <c r="A105" s="29"/>
      <c r="B105" s="30"/>
      <c r="C105" s="29"/>
      <c r="D105" s="29"/>
      <c r="E105" s="29"/>
      <c r="F105" s="31"/>
      <c r="G105" s="29"/>
      <c r="H105" s="32"/>
      <c r="I105" s="32"/>
      <c r="J105" s="33"/>
      <c r="K105" s="34"/>
      <c r="L105" s="35"/>
      <c r="M105" s="29"/>
      <c r="N105" s="36"/>
      <c r="O105" s="29"/>
      <c r="P105" s="11">
        <v>4</v>
      </c>
      <c r="Q105" s="4" t="s">
        <v>48</v>
      </c>
      <c r="R105" s="12">
        <v>1</v>
      </c>
      <c r="S105" s="9">
        <f>376.69</f>
        <v>376.69</v>
      </c>
    </row>
    <row r="106" spans="1:19" ht="45" customHeight="1" x14ac:dyDescent="0.25">
      <c r="A106" s="4" t="s">
        <v>22</v>
      </c>
      <c r="B106" s="5" t="s">
        <v>153</v>
      </c>
      <c r="C106" s="4" t="s">
        <v>43</v>
      </c>
      <c r="D106" s="4" t="s">
        <v>154</v>
      </c>
      <c r="E106" s="4" t="s">
        <v>155</v>
      </c>
      <c r="F106" s="6">
        <f>1</f>
        <v>1</v>
      </c>
      <c r="G106" s="4" t="s">
        <v>36</v>
      </c>
      <c r="H106" s="7">
        <v>299.51</v>
      </c>
      <c r="I106" s="7">
        <v>188.54</v>
      </c>
      <c r="J106" s="8" t="s">
        <v>28</v>
      </c>
      <c r="K106" s="9">
        <f>232.62</f>
        <v>232.62</v>
      </c>
      <c r="L106" s="10">
        <f>232.62</f>
        <v>232.62</v>
      </c>
      <c r="M106" s="4"/>
      <c r="N106" s="11">
        <v>8</v>
      </c>
      <c r="O106" s="4" t="s">
        <v>137</v>
      </c>
      <c r="P106" s="11">
        <v>2</v>
      </c>
      <c r="Q106" s="4" t="s">
        <v>46</v>
      </c>
      <c r="R106" s="12">
        <v>1</v>
      </c>
      <c r="S106" s="9">
        <f>232.62</f>
        <v>232.62</v>
      </c>
    </row>
    <row r="107" spans="1:19" ht="45" customHeight="1" x14ac:dyDescent="0.25">
      <c r="A107" s="4" t="s">
        <v>22</v>
      </c>
      <c r="B107" s="5" t="s">
        <v>156</v>
      </c>
      <c r="C107" s="4" t="s">
        <v>43</v>
      </c>
      <c r="D107" s="4" t="s">
        <v>157</v>
      </c>
      <c r="E107" s="4" t="s">
        <v>158</v>
      </c>
      <c r="F107" s="6">
        <f>1</f>
        <v>1</v>
      </c>
      <c r="G107" s="4" t="s">
        <v>36</v>
      </c>
      <c r="H107" s="7">
        <v>957.82</v>
      </c>
      <c r="I107" s="7">
        <v>602.95000000000005</v>
      </c>
      <c r="J107" s="8" t="s">
        <v>28</v>
      </c>
      <c r="K107" s="9">
        <f>743.92</f>
        <v>743.92</v>
      </c>
      <c r="L107" s="10">
        <f>743.92</f>
        <v>743.92</v>
      </c>
      <c r="M107" s="4"/>
      <c r="N107" s="11">
        <v>8</v>
      </c>
      <c r="O107" s="4" t="s">
        <v>137</v>
      </c>
      <c r="P107" s="11">
        <v>1</v>
      </c>
      <c r="Q107" s="4" t="s">
        <v>29</v>
      </c>
      <c r="R107" s="12">
        <v>1</v>
      </c>
      <c r="S107" s="9">
        <f>743.92</f>
        <v>743.92</v>
      </c>
    </row>
    <row r="108" spans="1:19" ht="45" customHeight="1" x14ac:dyDescent="0.25">
      <c r="A108" s="13" t="s">
        <v>22</v>
      </c>
      <c r="B108" s="14" t="s">
        <v>159</v>
      </c>
      <c r="C108" s="13" t="s">
        <v>43</v>
      </c>
      <c r="D108" s="13" t="s">
        <v>160</v>
      </c>
      <c r="E108" s="13" t="s">
        <v>161</v>
      </c>
      <c r="F108" s="15">
        <f>8</f>
        <v>8</v>
      </c>
      <c r="G108" s="13" t="s">
        <v>36</v>
      </c>
      <c r="H108" s="16">
        <v>506.3</v>
      </c>
      <c r="I108" s="16">
        <v>318.72000000000003</v>
      </c>
      <c r="J108" s="17" t="s">
        <v>28</v>
      </c>
      <c r="K108" s="18">
        <f>393.24</f>
        <v>393.24</v>
      </c>
      <c r="L108" s="19">
        <f>3145.92</f>
        <v>3145.92</v>
      </c>
      <c r="M108" s="13"/>
      <c r="N108" s="20">
        <v>8</v>
      </c>
      <c r="O108" s="13" t="s">
        <v>137</v>
      </c>
      <c r="P108" s="11">
        <v>1</v>
      </c>
      <c r="Q108" s="4" t="s">
        <v>29</v>
      </c>
      <c r="R108" s="12">
        <v>2</v>
      </c>
      <c r="S108" s="9">
        <f>786.48</f>
        <v>786.48</v>
      </c>
    </row>
    <row r="109" spans="1:19" ht="45" customHeight="1" x14ac:dyDescent="0.25">
      <c r="A109" s="21"/>
      <c r="B109" s="22"/>
      <c r="C109" s="21"/>
      <c r="D109" s="21"/>
      <c r="E109" s="21"/>
      <c r="F109" s="23"/>
      <c r="G109" s="21"/>
      <c r="H109" s="24"/>
      <c r="I109" s="24"/>
      <c r="J109" s="25"/>
      <c r="K109" s="26"/>
      <c r="L109" s="27"/>
      <c r="M109" s="21"/>
      <c r="N109" s="28"/>
      <c r="O109" s="21"/>
      <c r="P109" s="11">
        <v>2</v>
      </c>
      <c r="Q109" s="4" t="s">
        <v>46</v>
      </c>
      <c r="R109" s="12">
        <v>1</v>
      </c>
      <c r="S109" s="9">
        <f>393.24</f>
        <v>393.24</v>
      </c>
    </row>
    <row r="110" spans="1:19" ht="45" customHeight="1" x14ac:dyDescent="0.25">
      <c r="A110" s="21"/>
      <c r="B110" s="22"/>
      <c r="C110" s="21"/>
      <c r="D110" s="21"/>
      <c r="E110" s="21"/>
      <c r="F110" s="23"/>
      <c r="G110" s="21"/>
      <c r="H110" s="24"/>
      <c r="I110" s="24"/>
      <c r="J110" s="25"/>
      <c r="K110" s="26"/>
      <c r="L110" s="27"/>
      <c r="M110" s="21"/>
      <c r="N110" s="28"/>
      <c r="O110" s="21"/>
      <c r="P110" s="11">
        <v>3</v>
      </c>
      <c r="Q110" s="4" t="s">
        <v>47</v>
      </c>
      <c r="R110" s="12">
        <v>4</v>
      </c>
      <c r="S110" s="9">
        <f>1572.96</f>
        <v>1572.96</v>
      </c>
    </row>
    <row r="111" spans="1:19" ht="45" customHeight="1" x14ac:dyDescent="0.25">
      <c r="A111" s="29"/>
      <c r="B111" s="30"/>
      <c r="C111" s="29"/>
      <c r="D111" s="29"/>
      <c r="E111" s="29"/>
      <c r="F111" s="31"/>
      <c r="G111" s="29"/>
      <c r="H111" s="32"/>
      <c r="I111" s="32"/>
      <c r="J111" s="33"/>
      <c r="K111" s="34"/>
      <c r="L111" s="35"/>
      <c r="M111" s="29"/>
      <c r="N111" s="36"/>
      <c r="O111" s="29"/>
      <c r="P111" s="11">
        <v>4</v>
      </c>
      <c r="Q111" s="4" t="s">
        <v>48</v>
      </c>
      <c r="R111" s="12">
        <v>1</v>
      </c>
      <c r="S111" s="9">
        <f>393.24</f>
        <v>393.24</v>
      </c>
    </row>
    <row r="112" spans="1:19" x14ac:dyDescent="0.25">
      <c r="R112" s="38" t="s">
        <v>162</v>
      </c>
      <c r="S112" s="39">
        <f>1683068.66</f>
        <v>1683068.66</v>
      </c>
    </row>
    <row r="113" spans="18:19" x14ac:dyDescent="0.25">
      <c r="R113" s="38" t="s">
        <v>163</v>
      </c>
      <c r="S113" s="39">
        <f>87.64</f>
        <v>87.64</v>
      </c>
    </row>
  </sheetData>
  <mergeCells count="390">
    <mergeCell ref="N108:N111"/>
    <mergeCell ref="O108:O111"/>
    <mergeCell ref="H108:H111"/>
    <mergeCell ref="I108:I111"/>
    <mergeCell ref="J108:J111"/>
    <mergeCell ref="K108:K111"/>
    <mergeCell ref="L108:L111"/>
    <mergeCell ref="M108:M111"/>
    <mergeCell ref="M104:M105"/>
    <mergeCell ref="N104:N105"/>
    <mergeCell ref="O104:O105"/>
    <mergeCell ref="A108:A111"/>
    <mergeCell ref="B108:B111"/>
    <mergeCell ref="C108:C111"/>
    <mergeCell ref="D108:D111"/>
    <mergeCell ref="E108:E111"/>
    <mergeCell ref="F108:F111"/>
    <mergeCell ref="G108:G111"/>
    <mergeCell ref="G104:G105"/>
    <mergeCell ref="H104:H105"/>
    <mergeCell ref="I104:I105"/>
    <mergeCell ref="J104:J105"/>
    <mergeCell ref="K104:K105"/>
    <mergeCell ref="L104:L105"/>
    <mergeCell ref="A104:A105"/>
    <mergeCell ref="B104:B105"/>
    <mergeCell ref="C104:C105"/>
    <mergeCell ref="D104:D105"/>
    <mergeCell ref="E104:E105"/>
    <mergeCell ref="F104:F105"/>
    <mergeCell ref="J100:J103"/>
    <mergeCell ref="K100:K103"/>
    <mergeCell ref="L100:L103"/>
    <mergeCell ref="M100:M103"/>
    <mergeCell ref="N100:N103"/>
    <mergeCell ref="O100:O103"/>
    <mergeCell ref="O96:O99"/>
    <mergeCell ref="A100:A103"/>
    <mergeCell ref="B100:B103"/>
    <mergeCell ref="C100:C103"/>
    <mergeCell ref="D100:D103"/>
    <mergeCell ref="E100:E103"/>
    <mergeCell ref="F100:F103"/>
    <mergeCell ref="G100:G103"/>
    <mergeCell ref="H100:H103"/>
    <mergeCell ref="I100:I103"/>
    <mergeCell ref="I96:I99"/>
    <mergeCell ref="J96:J99"/>
    <mergeCell ref="K96:K99"/>
    <mergeCell ref="L96:L99"/>
    <mergeCell ref="M96:M99"/>
    <mergeCell ref="N96:N99"/>
    <mergeCell ref="N94:N95"/>
    <mergeCell ref="O94:O95"/>
    <mergeCell ref="A96:A99"/>
    <mergeCell ref="B96:B99"/>
    <mergeCell ref="C96:C99"/>
    <mergeCell ref="D96:D99"/>
    <mergeCell ref="E96:E99"/>
    <mergeCell ref="F96:F99"/>
    <mergeCell ref="G96:G99"/>
    <mergeCell ref="H96:H99"/>
    <mergeCell ref="H94:H95"/>
    <mergeCell ref="I94:I95"/>
    <mergeCell ref="J94:J95"/>
    <mergeCell ref="K94:K95"/>
    <mergeCell ref="L94:L95"/>
    <mergeCell ref="M94:M95"/>
    <mergeCell ref="M90:M93"/>
    <mergeCell ref="N90:N93"/>
    <mergeCell ref="O90:O93"/>
    <mergeCell ref="A94:A95"/>
    <mergeCell ref="B94:B95"/>
    <mergeCell ref="C94:C95"/>
    <mergeCell ref="D94:D95"/>
    <mergeCell ref="E94:E95"/>
    <mergeCell ref="F94:F95"/>
    <mergeCell ref="G94:G95"/>
    <mergeCell ref="G90:G93"/>
    <mergeCell ref="H90:H93"/>
    <mergeCell ref="I90:I93"/>
    <mergeCell ref="J90:J93"/>
    <mergeCell ref="K90:K93"/>
    <mergeCell ref="L90:L93"/>
    <mergeCell ref="A90:A93"/>
    <mergeCell ref="B90:B93"/>
    <mergeCell ref="C90:C93"/>
    <mergeCell ref="D90:D93"/>
    <mergeCell ref="E90:E93"/>
    <mergeCell ref="F90:F93"/>
    <mergeCell ref="J86:J87"/>
    <mergeCell ref="K86:K87"/>
    <mergeCell ref="L86:L87"/>
    <mergeCell ref="M86:M87"/>
    <mergeCell ref="N86:N87"/>
    <mergeCell ref="O86:O87"/>
    <mergeCell ref="O84:O85"/>
    <mergeCell ref="A86:A87"/>
    <mergeCell ref="B86:B87"/>
    <mergeCell ref="C86:C87"/>
    <mergeCell ref="D86:D87"/>
    <mergeCell ref="E86:E87"/>
    <mergeCell ref="F86:F87"/>
    <mergeCell ref="G86:G87"/>
    <mergeCell ref="H86:H87"/>
    <mergeCell ref="I86:I87"/>
    <mergeCell ref="I84:I85"/>
    <mergeCell ref="J84:J85"/>
    <mergeCell ref="K84:K85"/>
    <mergeCell ref="L84:L85"/>
    <mergeCell ref="M84:M85"/>
    <mergeCell ref="N84:N85"/>
    <mergeCell ref="N82:N83"/>
    <mergeCell ref="O82:O83"/>
    <mergeCell ref="A84:A85"/>
    <mergeCell ref="B84:B85"/>
    <mergeCell ref="C84:C85"/>
    <mergeCell ref="D84:D85"/>
    <mergeCell ref="E84:E85"/>
    <mergeCell ref="F84:F85"/>
    <mergeCell ref="G84:G85"/>
    <mergeCell ref="H84:H85"/>
    <mergeCell ref="H82:H83"/>
    <mergeCell ref="I82:I83"/>
    <mergeCell ref="J82:J83"/>
    <mergeCell ref="K82:K83"/>
    <mergeCell ref="L82:L83"/>
    <mergeCell ref="M82:M83"/>
    <mergeCell ref="M78:M80"/>
    <mergeCell ref="N78:N80"/>
    <mergeCell ref="O78:O80"/>
    <mergeCell ref="A82:A83"/>
    <mergeCell ref="B82:B83"/>
    <mergeCell ref="C82:C83"/>
    <mergeCell ref="D82:D83"/>
    <mergeCell ref="E82:E83"/>
    <mergeCell ref="F82:F83"/>
    <mergeCell ref="G82:G83"/>
    <mergeCell ref="G78:G80"/>
    <mergeCell ref="H78:H80"/>
    <mergeCell ref="I78:I80"/>
    <mergeCell ref="J78:J80"/>
    <mergeCell ref="K78:K80"/>
    <mergeCell ref="L78:L80"/>
    <mergeCell ref="A78:A80"/>
    <mergeCell ref="B78:B80"/>
    <mergeCell ref="C78:C80"/>
    <mergeCell ref="D78:D80"/>
    <mergeCell ref="E78:E80"/>
    <mergeCell ref="F78:F80"/>
    <mergeCell ref="J75:J76"/>
    <mergeCell ref="K75:K76"/>
    <mergeCell ref="L75:L76"/>
    <mergeCell ref="M75:M76"/>
    <mergeCell ref="N75:N76"/>
    <mergeCell ref="O75:O76"/>
    <mergeCell ref="O63:O66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I63:I66"/>
    <mergeCell ref="J63:J66"/>
    <mergeCell ref="K63:K66"/>
    <mergeCell ref="L63:L66"/>
    <mergeCell ref="M63:M66"/>
    <mergeCell ref="N63:N66"/>
    <mergeCell ref="N59:N62"/>
    <mergeCell ref="O59:O62"/>
    <mergeCell ref="A63:A66"/>
    <mergeCell ref="B63:B66"/>
    <mergeCell ref="C63:C66"/>
    <mergeCell ref="D63:D66"/>
    <mergeCell ref="E63:E66"/>
    <mergeCell ref="F63:F66"/>
    <mergeCell ref="G63:G66"/>
    <mergeCell ref="H63:H66"/>
    <mergeCell ref="H59:H62"/>
    <mergeCell ref="I59:I62"/>
    <mergeCell ref="J59:J62"/>
    <mergeCell ref="K59:K62"/>
    <mergeCell ref="L59:L62"/>
    <mergeCell ref="M59:M62"/>
    <mergeCell ref="M55:M58"/>
    <mergeCell ref="N55:N58"/>
    <mergeCell ref="O55:O58"/>
    <mergeCell ref="A59:A62"/>
    <mergeCell ref="B59:B62"/>
    <mergeCell ref="C59:C62"/>
    <mergeCell ref="D59:D62"/>
    <mergeCell ref="E59:E62"/>
    <mergeCell ref="F59:F62"/>
    <mergeCell ref="G59:G62"/>
    <mergeCell ref="G55:G58"/>
    <mergeCell ref="H55:H58"/>
    <mergeCell ref="I55:I58"/>
    <mergeCell ref="J55:J58"/>
    <mergeCell ref="K55:K58"/>
    <mergeCell ref="L55:L58"/>
    <mergeCell ref="A55:A58"/>
    <mergeCell ref="B55:B58"/>
    <mergeCell ref="C55:C58"/>
    <mergeCell ref="D55:D58"/>
    <mergeCell ref="E55:E58"/>
    <mergeCell ref="F55:F58"/>
    <mergeCell ref="J51:J54"/>
    <mergeCell ref="K51:K54"/>
    <mergeCell ref="L51:L54"/>
    <mergeCell ref="M51:M54"/>
    <mergeCell ref="N51:N54"/>
    <mergeCell ref="O51:O54"/>
    <mergeCell ref="O47:O50"/>
    <mergeCell ref="A51:A54"/>
    <mergeCell ref="B51:B54"/>
    <mergeCell ref="C51:C54"/>
    <mergeCell ref="D51:D54"/>
    <mergeCell ref="E51:E54"/>
    <mergeCell ref="F51:F54"/>
    <mergeCell ref="G51:G54"/>
    <mergeCell ref="H51:H54"/>
    <mergeCell ref="I51:I54"/>
    <mergeCell ref="I47:I50"/>
    <mergeCell ref="J47:J50"/>
    <mergeCell ref="K47:K50"/>
    <mergeCell ref="L47:L50"/>
    <mergeCell ref="M47:M50"/>
    <mergeCell ref="N47:N50"/>
    <mergeCell ref="N43:N46"/>
    <mergeCell ref="O43:O46"/>
    <mergeCell ref="A47:A50"/>
    <mergeCell ref="B47:B50"/>
    <mergeCell ref="C47:C50"/>
    <mergeCell ref="D47:D50"/>
    <mergeCell ref="E47:E50"/>
    <mergeCell ref="F47:F50"/>
    <mergeCell ref="G47:G50"/>
    <mergeCell ref="H47:H50"/>
    <mergeCell ref="H43:H46"/>
    <mergeCell ref="I43:I46"/>
    <mergeCell ref="J43:J46"/>
    <mergeCell ref="K43:K46"/>
    <mergeCell ref="L43:L46"/>
    <mergeCell ref="M43:M46"/>
    <mergeCell ref="M39:M42"/>
    <mergeCell ref="N39:N42"/>
    <mergeCell ref="O39:O42"/>
    <mergeCell ref="A43:A46"/>
    <mergeCell ref="B43:B46"/>
    <mergeCell ref="C43:C46"/>
    <mergeCell ref="D43:D46"/>
    <mergeCell ref="E43:E46"/>
    <mergeCell ref="F43:F46"/>
    <mergeCell ref="G43:G46"/>
    <mergeCell ref="G39:G42"/>
    <mergeCell ref="H39:H42"/>
    <mergeCell ref="I39:I42"/>
    <mergeCell ref="J39:J42"/>
    <mergeCell ref="K39:K42"/>
    <mergeCell ref="L39:L42"/>
    <mergeCell ref="A39:A42"/>
    <mergeCell ref="B39:B42"/>
    <mergeCell ref="C39:C42"/>
    <mergeCell ref="D39:D42"/>
    <mergeCell ref="E39:E42"/>
    <mergeCell ref="F39:F42"/>
    <mergeCell ref="J35:J38"/>
    <mergeCell ref="K35:K38"/>
    <mergeCell ref="L35:L38"/>
    <mergeCell ref="M35:M38"/>
    <mergeCell ref="N35:N38"/>
    <mergeCell ref="O35:O38"/>
    <mergeCell ref="O31:O34"/>
    <mergeCell ref="A35:A38"/>
    <mergeCell ref="B35:B38"/>
    <mergeCell ref="C35:C38"/>
    <mergeCell ref="D35:D38"/>
    <mergeCell ref="E35:E38"/>
    <mergeCell ref="F35:F38"/>
    <mergeCell ref="G35:G38"/>
    <mergeCell ref="H35:H38"/>
    <mergeCell ref="I35:I38"/>
    <mergeCell ref="I31:I34"/>
    <mergeCell ref="J31:J34"/>
    <mergeCell ref="K31:K34"/>
    <mergeCell ref="L31:L34"/>
    <mergeCell ref="M31:M34"/>
    <mergeCell ref="N31:N34"/>
    <mergeCell ref="N26:N29"/>
    <mergeCell ref="O26:O29"/>
    <mergeCell ref="A31:A34"/>
    <mergeCell ref="B31:B34"/>
    <mergeCell ref="C31:C34"/>
    <mergeCell ref="D31:D34"/>
    <mergeCell ref="E31:E34"/>
    <mergeCell ref="F31:F34"/>
    <mergeCell ref="G31:G34"/>
    <mergeCell ref="H31:H34"/>
    <mergeCell ref="H26:H29"/>
    <mergeCell ref="I26:I29"/>
    <mergeCell ref="J26:J29"/>
    <mergeCell ref="K26:K29"/>
    <mergeCell ref="L26:L29"/>
    <mergeCell ref="M26:M29"/>
    <mergeCell ref="M22:M25"/>
    <mergeCell ref="N22:N25"/>
    <mergeCell ref="O22:O25"/>
    <mergeCell ref="A26:A29"/>
    <mergeCell ref="B26:B29"/>
    <mergeCell ref="C26:C29"/>
    <mergeCell ref="D26:D29"/>
    <mergeCell ref="E26:E29"/>
    <mergeCell ref="F26:F29"/>
    <mergeCell ref="G26:G29"/>
    <mergeCell ref="G22:G25"/>
    <mergeCell ref="H22:H25"/>
    <mergeCell ref="I22:I25"/>
    <mergeCell ref="J22:J25"/>
    <mergeCell ref="K22:K25"/>
    <mergeCell ref="L22:L25"/>
    <mergeCell ref="A22:A25"/>
    <mergeCell ref="B22:B25"/>
    <mergeCell ref="C22:C25"/>
    <mergeCell ref="D22:D25"/>
    <mergeCell ref="E22:E25"/>
    <mergeCell ref="F22:F25"/>
    <mergeCell ref="J17:J20"/>
    <mergeCell ref="K17:K20"/>
    <mergeCell ref="L17:L20"/>
    <mergeCell ref="M17:M20"/>
    <mergeCell ref="N17:N20"/>
    <mergeCell ref="O17:O20"/>
    <mergeCell ref="O13:O16"/>
    <mergeCell ref="A17:A20"/>
    <mergeCell ref="B17:B20"/>
    <mergeCell ref="C17:C20"/>
    <mergeCell ref="D17:D20"/>
    <mergeCell ref="E17:E20"/>
    <mergeCell ref="F17:F20"/>
    <mergeCell ref="G17:G20"/>
    <mergeCell ref="H17:H20"/>
    <mergeCell ref="I17:I20"/>
    <mergeCell ref="I13:I16"/>
    <mergeCell ref="J13:J16"/>
    <mergeCell ref="K13:K16"/>
    <mergeCell ref="L13:L16"/>
    <mergeCell ref="M13:M16"/>
    <mergeCell ref="N13:N16"/>
    <mergeCell ref="N9:N12"/>
    <mergeCell ref="O9:O12"/>
    <mergeCell ref="A13:A16"/>
    <mergeCell ref="B13:B16"/>
    <mergeCell ref="C13:C16"/>
    <mergeCell ref="D13:D16"/>
    <mergeCell ref="E13:E16"/>
    <mergeCell ref="F13:F16"/>
    <mergeCell ref="G13:G16"/>
    <mergeCell ref="H13:H16"/>
    <mergeCell ref="H9:H12"/>
    <mergeCell ref="I9:I12"/>
    <mergeCell ref="J9:J12"/>
    <mergeCell ref="K9:K12"/>
    <mergeCell ref="L9:L12"/>
    <mergeCell ref="M9:M12"/>
    <mergeCell ref="M5:M7"/>
    <mergeCell ref="N5:N7"/>
    <mergeCell ref="O5:O7"/>
    <mergeCell ref="A9:A12"/>
    <mergeCell ref="B9:B12"/>
    <mergeCell ref="C9:C12"/>
    <mergeCell ref="D9:D12"/>
    <mergeCell ref="E9:E12"/>
    <mergeCell ref="F9:F12"/>
    <mergeCell ref="G9:G12"/>
    <mergeCell ref="G5:G7"/>
    <mergeCell ref="H5:H7"/>
    <mergeCell ref="I5:I7"/>
    <mergeCell ref="J5:J7"/>
    <mergeCell ref="K5:K7"/>
    <mergeCell ref="L5:L7"/>
    <mergeCell ref="A5:A7"/>
    <mergeCell ref="B5:B7"/>
    <mergeCell ref="C5:C7"/>
    <mergeCell ref="D5:D7"/>
    <mergeCell ref="E5:E7"/>
    <mergeCell ref="F5:F7"/>
  </mergeCells>
  <conditionalFormatting sqref="A2:S2">
    <cfRule type="expression" dxfId="20" priority="14">
      <formula>$A2="Macrosserviço"</formula>
    </cfRule>
  </conditionalFormatting>
  <conditionalFormatting sqref="E2:E5 E8:E9 E13 E17 E21:E22 E26 E30:E31 E35 E39 E43 E47 E51 E55 E59 E63 E67:E75 E77:E78 E81:E82 E84 E86 E88:E90 E94 E96 E100 E104 E106:E108">
    <cfRule type="expression" dxfId="19" priority="16">
      <formula>OR(E2="",IF($A2="Macrosserviço",LEN($E2)&gt;100,LEN($E2)&gt;500))</formula>
    </cfRule>
  </conditionalFormatting>
  <conditionalFormatting sqref="M2:M5 M8:M9 M13 M17 M21:M22 M26 M30:M31 M35 M39 M43 M47 M51 M55 M59 M63 M67:M75 M77:M78 M81:M82 M84 M86 M88:M90 M94 M96 M100 M104 M106:M108">
    <cfRule type="expression" dxfId="18" priority="15">
      <formula>IF($A2="Serviço",LEN(M2)&gt;500,M2&lt;&gt;"")</formula>
    </cfRule>
  </conditionalFormatting>
  <conditionalFormatting sqref="A2:A5 A8:A9 A13 A17 A21:A22 A26 A30:A31 A35 A39 A43 A47 A51 A55 A59 A63 A67:A75 A77:A78 A81:A82 A84 A86 A88:A90 A94 A96 A100 A104 A106:A108">
    <cfRule type="expression" dxfId="17" priority="13">
      <formula>AND(A2&lt;&gt;"Macrosserviço",A2&lt;&gt;"Serviço")</formula>
    </cfRule>
  </conditionalFormatting>
  <conditionalFormatting sqref="C2:C5 C8:C9 C13 C17 C21:C22 C26 C30:C31 C35 C39 C43 C47 C51 C55 C59 C63 C67:C75 C77:C78 C81:C82 C84 C86 C88:C90 C94 C96 C100 C104 C106:C108">
    <cfRule type="expression" dxfId="16" priority="12">
      <formula>IF($A2="Serviço",AND(C2&lt;&gt;"Composição",C2&lt;&gt;"Cotação",C2&lt;&gt;"SINAPI",C2&lt;&gt;"Outros"),C2&lt;&gt;"")</formula>
    </cfRule>
  </conditionalFormatting>
  <conditionalFormatting sqref="D2:D5 D8:D9 D13 D17 D21:D22 D26 D30:D31 D35 D39 D43 D47 D51 D55 D59 D63 D67:D75 D77:D78 D81:D82 D84 D86 D88:D90 D94 D96 D100 D104 D106:D108">
    <cfRule type="expression" dxfId="15" priority="11">
      <formula>IF($A2="Serviço",OR(D2="",LEN($D2)&gt;13),D2&lt;&gt;"")</formula>
    </cfRule>
  </conditionalFormatting>
  <conditionalFormatting sqref="H2:H5 H8:H9 H13 H17 H21:H22 H26 H30:H31 H35 H39 H43 H47 H51 H55 H59 H63 H67:H75 H77:H78 H81:H82 H84 H86 H88:H90 H94 H96 H100 H104 H106:H108">
    <cfRule type="expression" dxfId="14" priority="10">
      <formula>IF(A2="Serviço",OR(NOT(ISNUMBER(H2)),H2&lt;&gt;ROUND(H2,2),AND(C2&lt;&gt;"SINAPI",H2=0),H2&lt;0,H2&gt;9999999999.99),H2&lt;&gt;"")</formula>
    </cfRule>
  </conditionalFormatting>
  <conditionalFormatting sqref="I2:I5 I8:I9 I13 I17 I21:I22 I26 I30:I31 I35 I39 I43 I47 I51 I55 I59 I63 I67:I75 I77:I78 I81:I82 I84 I86 I88:I90 I94 I96 I100 I104 I106:I108">
    <cfRule type="expression" dxfId="13" priority="9">
      <formula>IF($A2="Serviço",OR(NOT(ISNUMBER(I2)),I2&lt;&gt;ROUND(I2,2),I2&lt;=0,I2&gt;9999999999.99),I2&lt;&gt;"")</formula>
    </cfRule>
  </conditionalFormatting>
  <conditionalFormatting sqref="J2:J5 J8:J9 J13 J17 J21:J22 J26 J30:J31 J35 J39 J43 J47 J51 J55 J59 J63 J67:J75 J77:J78 J81:J82 J84 J86 J88:J90 J94 J96 J100 J104 J106:J108">
    <cfRule type="expression" dxfId="12" priority="8">
      <formula>IF($A2="Serviço",OR(NOT(ISNUMBER(VALUE(J2))),VALUE(J2)&lt;&gt;ROUND(VALUE(J2),4),VALUE(J2)&lt;=0,VALUE(J2)&gt;100%),J2&lt;&gt;"")</formula>
    </cfRule>
  </conditionalFormatting>
  <conditionalFormatting sqref="N2:N5 N8:N9 N13 N17 N21:N22 N26 N30:N31 N35 N39 N43 N47 N51 N55 N59 N63 N67:N75 N77:N78 N81:N82 N84 N86 N88:N90 N94 N96 N100 N104 N106:N108">
    <cfRule type="expression" dxfId="11" priority="7">
      <formula>IF($A2="Serviço",OR(NOT(ISNUMBER(N2)),N2&lt;&gt;ROUND(N2,0),N2&lt;1,N2&gt;999),N2&lt;&gt;"")</formula>
    </cfRule>
  </conditionalFormatting>
  <conditionalFormatting sqref="O2:O5 O8:O9 O13 O17 O21:O22 O26 O30:O31 O35 O39 O43 O47 O51 O55 O59 O63 O67:O75 O77:O78 O81:O82 O84 O86 O88:O90 O94 O96 O100 O104 O106:O108">
    <cfRule type="expression" dxfId="10" priority="6">
      <formula>IF($A2="Serviço",OR(O2="",LEN(O2)&gt;100),O2&lt;&gt;"")</formula>
    </cfRule>
  </conditionalFormatting>
  <conditionalFormatting sqref="P2:P111">
    <cfRule type="expression" dxfId="9" priority="5">
      <formula>IF($A2="Macrosserviço",P2&lt;&gt;"",OR(NOT(ISNUMBER(P2)),P2&lt;&gt;ROUND(P2,0),P2&lt;1,P2&gt;999))</formula>
    </cfRule>
  </conditionalFormatting>
  <conditionalFormatting sqref="Q2:Q111">
    <cfRule type="expression" dxfId="8" priority="4">
      <formula>IF($A2="Macrosserviço",Q2&lt;&gt;"",OR(Q2="",LEN(Q2)&gt;100))</formula>
    </cfRule>
  </conditionalFormatting>
  <conditionalFormatting sqref="B2:B5 B8:B9 B13 B17 B21:B22 B26 B30:B31 B35 B39 B43 B47 B51 B55 B59 B63 B67:B75 B77:B78 B81:B82 B84 B86 B88:B90 B94 B96 B100 B104 B106:B108">
    <cfRule type="cellIs" dxfId="7" priority="3" operator="equal">
      <formula>""</formula>
    </cfRule>
  </conditionalFormatting>
  <conditionalFormatting sqref="R2:R111">
    <cfRule type="expression" dxfId="6" priority="2">
      <formula>IF($A2="Macrosserviço",R2&lt;&gt;"",OR(NOT(ISNUMBER(R2)),R2&lt;&gt;ROUND(R2,2),R2&lt;=0,R2&gt;99999999.99))</formula>
    </cfRule>
  </conditionalFormatting>
  <conditionalFormatting sqref="A3:S5 A8:S9 P6:S7 A13:S13 P10:S12 A17:S17 P14:S16 A21:S22 P18:S20 A26:S26 P23:S25 A30:S31 P27:S29 A35:S35 P32:S34 A39:S39 P36:S38 A43:S43 P40:S42 A47:S47 P44:S46 A51:S51 P48:S50 A55:S55 P52:S54 A59:S59 P56:S58 A63:S63 P60:S62 A67:S75 P64:S66 A77:S78 P76:S76 A81:S82 P79:S80 A84:S84 P83:S83 A86:S86 P85:S85 A88:S90 P87:S87 A94:S94 P91:S93 A96:S96 P95:S95 A100:S100 P97:S99 A104:S104 P101:S103 A106:S108 P105:S105 P109:S111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&amp;LPMv3.12&amp;R&amp;P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6534C-F141-40D8-93F7-DEA661E498BD}">
  <sheetPr codeName="Planilha2"/>
  <dimension ref="A1:E27"/>
  <sheetViews>
    <sheetView workbookViewId="0"/>
  </sheetViews>
  <sheetFormatPr defaultColWidth="9.140625" defaultRowHeight="15" x14ac:dyDescent="0.25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140625" style="3"/>
  </cols>
  <sheetData>
    <row r="1" spans="1:5" x14ac:dyDescent="0.25">
      <c r="A1" s="1" t="s">
        <v>164</v>
      </c>
      <c r="B1" s="1" t="s">
        <v>165</v>
      </c>
      <c r="C1" s="1" t="s">
        <v>166</v>
      </c>
      <c r="D1" s="1" t="s">
        <v>16</v>
      </c>
      <c r="E1" s="1" t="s">
        <v>167</v>
      </c>
    </row>
    <row r="2" spans="1:5" ht="45" customHeight="1" x14ac:dyDescent="0.25">
      <c r="A2" s="40">
        <v>1</v>
      </c>
      <c r="B2" s="40" t="s">
        <v>21</v>
      </c>
      <c r="C2" s="40">
        <v>1</v>
      </c>
      <c r="D2" s="40" t="s">
        <v>29</v>
      </c>
      <c r="E2" s="40">
        <v>1</v>
      </c>
    </row>
    <row r="3" spans="1:5" ht="45" customHeight="1" x14ac:dyDescent="0.25">
      <c r="A3" s="41">
        <v>2</v>
      </c>
      <c r="B3" s="41" t="s">
        <v>31</v>
      </c>
      <c r="C3" s="40">
        <v>5</v>
      </c>
      <c r="D3" s="40" t="s">
        <v>37</v>
      </c>
      <c r="E3" s="40">
        <v>1</v>
      </c>
    </row>
    <row r="4" spans="1:5" ht="45" customHeight="1" x14ac:dyDescent="0.25">
      <c r="A4" s="42"/>
      <c r="B4" s="42"/>
      <c r="C4" s="40">
        <v>6</v>
      </c>
      <c r="D4" s="40" t="s">
        <v>38</v>
      </c>
      <c r="E4" s="40">
        <v>2</v>
      </c>
    </row>
    <row r="5" spans="1:5" ht="45" customHeight="1" x14ac:dyDescent="0.25">
      <c r="A5" s="43"/>
      <c r="B5" s="43"/>
      <c r="C5" s="40">
        <v>7</v>
      </c>
      <c r="D5" s="40" t="s">
        <v>39</v>
      </c>
      <c r="E5" s="40">
        <v>3</v>
      </c>
    </row>
    <row r="6" spans="1:5" ht="45" customHeight="1" x14ac:dyDescent="0.25">
      <c r="A6" s="41">
        <v>3</v>
      </c>
      <c r="B6" s="41" t="s">
        <v>41</v>
      </c>
      <c r="C6" s="40">
        <v>1</v>
      </c>
      <c r="D6" s="40" t="s">
        <v>29</v>
      </c>
      <c r="E6" s="40">
        <v>1</v>
      </c>
    </row>
    <row r="7" spans="1:5" ht="45" customHeight="1" x14ac:dyDescent="0.25">
      <c r="A7" s="42"/>
      <c r="B7" s="42"/>
      <c r="C7" s="40">
        <v>2</v>
      </c>
      <c r="D7" s="40" t="s">
        <v>46</v>
      </c>
      <c r="E7" s="40">
        <v>1</v>
      </c>
    </row>
    <row r="8" spans="1:5" ht="45" customHeight="1" x14ac:dyDescent="0.25">
      <c r="A8" s="42"/>
      <c r="B8" s="42"/>
      <c r="C8" s="40">
        <v>3</v>
      </c>
      <c r="D8" s="40" t="s">
        <v>47</v>
      </c>
      <c r="E8" s="40">
        <v>1</v>
      </c>
    </row>
    <row r="9" spans="1:5" ht="45" customHeight="1" x14ac:dyDescent="0.25">
      <c r="A9" s="43"/>
      <c r="B9" s="43"/>
      <c r="C9" s="40">
        <v>4</v>
      </c>
      <c r="D9" s="40" t="s">
        <v>48</v>
      </c>
      <c r="E9" s="40">
        <v>1</v>
      </c>
    </row>
    <row r="10" spans="1:5" ht="45" customHeight="1" x14ac:dyDescent="0.25">
      <c r="A10" s="41">
        <v>4</v>
      </c>
      <c r="B10" s="41" t="s">
        <v>58</v>
      </c>
      <c r="C10" s="40">
        <v>1</v>
      </c>
      <c r="D10" s="40" t="s">
        <v>29</v>
      </c>
      <c r="E10" s="40">
        <v>1</v>
      </c>
    </row>
    <row r="11" spans="1:5" ht="45" customHeight="1" x14ac:dyDescent="0.25">
      <c r="A11" s="42"/>
      <c r="B11" s="42"/>
      <c r="C11" s="40">
        <v>2</v>
      </c>
      <c r="D11" s="40" t="s">
        <v>46</v>
      </c>
      <c r="E11" s="40">
        <v>1</v>
      </c>
    </row>
    <row r="12" spans="1:5" ht="45" customHeight="1" x14ac:dyDescent="0.25">
      <c r="A12" s="42"/>
      <c r="B12" s="42"/>
      <c r="C12" s="40">
        <v>3</v>
      </c>
      <c r="D12" s="40" t="s">
        <v>47</v>
      </c>
      <c r="E12" s="40">
        <v>1</v>
      </c>
    </row>
    <row r="13" spans="1:5" ht="45" customHeight="1" x14ac:dyDescent="0.25">
      <c r="A13" s="43"/>
      <c r="B13" s="43"/>
      <c r="C13" s="40">
        <v>4</v>
      </c>
      <c r="D13" s="40" t="s">
        <v>48</v>
      </c>
      <c r="E13" s="40">
        <v>1</v>
      </c>
    </row>
    <row r="14" spans="1:5" ht="45" customHeight="1" x14ac:dyDescent="0.25">
      <c r="A14" s="41">
        <v>5</v>
      </c>
      <c r="B14" s="41" t="s">
        <v>64</v>
      </c>
      <c r="C14" s="40">
        <v>1</v>
      </c>
      <c r="D14" s="40" t="s">
        <v>29</v>
      </c>
      <c r="E14" s="40">
        <v>2</v>
      </c>
    </row>
    <row r="15" spans="1:5" ht="45" customHeight="1" x14ac:dyDescent="0.25">
      <c r="A15" s="42"/>
      <c r="B15" s="42"/>
      <c r="C15" s="40">
        <v>2</v>
      </c>
      <c r="D15" s="40" t="s">
        <v>46</v>
      </c>
      <c r="E15" s="40">
        <v>2</v>
      </c>
    </row>
    <row r="16" spans="1:5" ht="45" customHeight="1" x14ac:dyDescent="0.25">
      <c r="A16" s="42"/>
      <c r="B16" s="42"/>
      <c r="C16" s="40">
        <v>3</v>
      </c>
      <c r="D16" s="40" t="s">
        <v>47</v>
      </c>
      <c r="E16" s="40">
        <v>2</v>
      </c>
    </row>
    <row r="17" spans="1:5" ht="45" customHeight="1" x14ac:dyDescent="0.25">
      <c r="A17" s="43"/>
      <c r="B17" s="43"/>
      <c r="C17" s="40">
        <v>4</v>
      </c>
      <c r="D17" s="40" t="s">
        <v>48</v>
      </c>
      <c r="E17" s="40">
        <v>2</v>
      </c>
    </row>
    <row r="18" spans="1:5" ht="45" customHeight="1" x14ac:dyDescent="0.25">
      <c r="A18" s="41">
        <v>6</v>
      </c>
      <c r="B18" s="41" t="s">
        <v>91</v>
      </c>
      <c r="C18" s="40">
        <v>3</v>
      </c>
      <c r="D18" s="40" t="s">
        <v>47</v>
      </c>
      <c r="E18" s="40">
        <v>1</v>
      </c>
    </row>
    <row r="19" spans="1:5" ht="45" customHeight="1" x14ac:dyDescent="0.25">
      <c r="A19" s="43"/>
      <c r="B19" s="43"/>
      <c r="C19" s="40">
        <v>4</v>
      </c>
      <c r="D19" s="40" t="s">
        <v>48</v>
      </c>
      <c r="E19" s="40">
        <v>1</v>
      </c>
    </row>
    <row r="20" spans="1:5" ht="45" customHeight="1" x14ac:dyDescent="0.25">
      <c r="A20" s="41">
        <v>7</v>
      </c>
      <c r="B20" s="41" t="s">
        <v>118</v>
      </c>
      <c r="C20" s="40">
        <v>1</v>
      </c>
      <c r="D20" s="40" t="s">
        <v>29</v>
      </c>
      <c r="E20" s="40">
        <v>3</v>
      </c>
    </row>
    <row r="21" spans="1:5" ht="45" customHeight="1" x14ac:dyDescent="0.25">
      <c r="A21" s="42"/>
      <c r="B21" s="42"/>
      <c r="C21" s="40">
        <v>2</v>
      </c>
      <c r="D21" s="40" t="s">
        <v>46</v>
      </c>
      <c r="E21" s="40">
        <v>3</v>
      </c>
    </row>
    <row r="22" spans="1:5" ht="45" customHeight="1" x14ac:dyDescent="0.25">
      <c r="A22" s="42"/>
      <c r="B22" s="42"/>
      <c r="C22" s="40">
        <v>3</v>
      </c>
      <c r="D22" s="40" t="s">
        <v>47</v>
      </c>
      <c r="E22" s="40">
        <v>3</v>
      </c>
    </row>
    <row r="23" spans="1:5" ht="45" customHeight="1" x14ac:dyDescent="0.25">
      <c r="A23" s="43"/>
      <c r="B23" s="43"/>
      <c r="C23" s="40">
        <v>4</v>
      </c>
      <c r="D23" s="40" t="s">
        <v>48</v>
      </c>
      <c r="E23" s="40">
        <v>3</v>
      </c>
    </row>
    <row r="24" spans="1:5" ht="45" customHeight="1" x14ac:dyDescent="0.25">
      <c r="A24" s="41">
        <v>8</v>
      </c>
      <c r="B24" s="41" t="s">
        <v>137</v>
      </c>
      <c r="C24" s="40">
        <v>1</v>
      </c>
      <c r="D24" s="40" t="s">
        <v>29</v>
      </c>
      <c r="E24" s="40">
        <v>3</v>
      </c>
    </row>
    <row r="25" spans="1:5" ht="45" customHeight="1" x14ac:dyDescent="0.25">
      <c r="A25" s="42"/>
      <c r="B25" s="42"/>
      <c r="C25" s="40">
        <v>2</v>
      </c>
      <c r="D25" s="40" t="s">
        <v>46</v>
      </c>
      <c r="E25" s="40">
        <v>3</v>
      </c>
    </row>
    <row r="26" spans="1:5" ht="45" customHeight="1" x14ac:dyDescent="0.25">
      <c r="A26" s="42"/>
      <c r="B26" s="42"/>
      <c r="C26" s="40">
        <v>3</v>
      </c>
      <c r="D26" s="40" t="s">
        <v>47</v>
      </c>
      <c r="E26" s="40">
        <v>3</v>
      </c>
    </row>
    <row r="27" spans="1:5" ht="45" customHeight="1" x14ac:dyDescent="0.25">
      <c r="A27" s="43"/>
      <c r="B27" s="43"/>
      <c r="C27" s="40">
        <v>4</v>
      </c>
      <c r="D27" s="40" t="s">
        <v>48</v>
      </c>
      <c r="E27" s="40">
        <v>3</v>
      </c>
    </row>
  </sheetData>
  <mergeCells count="14">
    <mergeCell ref="A24:A27"/>
    <mergeCell ref="B24:B27"/>
    <mergeCell ref="A14:A17"/>
    <mergeCell ref="B14:B17"/>
    <mergeCell ref="A18:A19"/>
    <mergeCell ref="B18:B19"/>
    <mergeCell ref="A20:A23"/>
    <mergeCell ref="B20:B23"/>
    <mergeCell ref="A3:A5"/>
    <mergeCell ref="B3:B5"/>
    <mergeCell ref="A6:A9"/>
    <mergeCell ref="B6:B9"/>
    <mergeCell ref="A10:A13"/>
    <mergeCell ref="B10:B13"/>
  </mergeCells>
  <conditionalFormatting sqref="A2:A3 A6 A10 A14 A18 A20 A24">
    <cfRule type="expression" dxfId="4" priority="5">
      <formula>OR(NOT(ISNUMBER(A2)),A2&lt;&gt;ROUND(A2,0),A2&lt;1,A2&gt;999)</formula>
    </cfRule>
  </conditionalFormatting>
  <conditionalFormatting sqref="B2:B3 B6 B10 B14 B18 B20 B24">
    <cfRule type="expression" dxfId="3" priority="4">
      <formula>OR(B2="",LEN(B2)&gt;100)</formula>
    </cfRule>
  </conditionalFormatting>
  <conditionalFormatting sqref="C2:C27">
    <cfRule type="expression" dxfId="2" priority="3">
      <formula>OR(NOT(ISNUMBER(C2)),C2&lt;&gt;ROUND(C2,0),C2&lt;1,C2&gt;999)</formula>
    </cfRule>
  </conditionalFormatting>
  <conditionalFormatting sqref="D2:D27">
    <cfRule type="expression" dxfId="1" priority="2">
      <formula>OR(D2="",LEN(D2)&gt;100)</formula>
    </cfRule>
  </conditionalFormatting>
  <conditionalFormatting sqref="E2:E27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&amp;LPMv3.12&amp;R&amp;P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Elimar Vieira Vaz</dc:creator>
  <cp:lastModifiedBy>Elimar Vieira Vaz</cp:lastModifiedBy>
  <dcterms:created xsi:type="dcterms:W3CDTF">2026-03-11T00:41:29Z</dcterms:created>
  <dcterms:modified xsi:type="dcterms:W3CDTF">2026-03-11T00:41:46Z</dcterms:modified>
</cp:coreProperties>
</file>