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F:\OneDrive\NOTEBOOK DELL\HD DO NOTEBOOK\HD EXTERNO 2022\2026\PM BOCAINA\PAVIMENTAÇÃO DE VIA RURAL (SERRA ETAPA 03) - (FUTURO)\"/>
    </mc:Choice>
  </mc:AlternateContent>
  <xr:revisionPtr revIDLastSave="0" documentId="13_ncr:1_{A693A1B6-2281-4DE3-93FC-86DAB1E32A43}" xr6:coauthVersionLast="47" xr6:coauthVersionMax="47" xr10:uidLastSave="{00000000-0000-0000-0000-000000000000}"/>
  <bookViews>
    <workbookView xWindow="-108" yWindow="-108" windowWidth="23256" windowHeight="12456" firstSheet="9" activeTab="10" xr2:uid="{00000000-000D-0000-FFFF-FFFF00000000}"/>
  </bookViews>
  <sheets>
    <sheet name="BM 01" sheetId="14" state="hidden" r:id="rId1"/>
    <sheet name="BM 02" sheetId="15" state="hidden" r:id="rId2"/>
    <sheet name="CC" sheetId="9" state="hidden" r:id="rId3"/>
    <sheet name="BM 03" sheetId="18" state="hidden" r:id="rId4"/>
    <sheet name="BM 04" sheetId="17" state="hidden" r:id="rId5"/>
    <sheet name="Planilha orçamentaria " sheetId="19" state="hidden" r:id="rId6"/>
    <sheet name="MC" sheetId="11" state="hidden" r:id="rId7"/>
    <sheet name="CFF" sheetId="8" state="hidden" r:id="rId8"/>
    <sheet name="COMPOSIÇÃO BDI" sheetId="20" state="hidden" r:id="rId9"/>
    <sheet name="COMPOSIÇÃO BDI " sheetId="26" r:id="rId10"/>
    <sheet name="Planilha orçamentaria SINAPI" sheetId="21" r:id="rId11"/>
    <sheet name="CFF SINAPI" sheetId="23" r:id="rId12"/>
    <sheet name="MC SINAPI" sheetId="22" r:id="rId13"/>
    <sheet name="Composições" sheetId="25" r:id="rId14"/>
  </sheets>
  <externalReferences>
    <externalReference r:id="rId15"/>
    <externalReference r:id="rId16"/>
    <externalReference r:id="rId17"/>
    <externalReference r:id="rId18"/>
    <externalReference r:id="rId19"/>
    <externalReference r:id="rId20"/>
    <externalReference r:id="rId21"/>
  </externalReferences>
  <definedNames>
    <definedName name="___sub1">#REF!</definedName>
    <definedName name="___sub2">#REF!</definedName>
    <definedName name="___sub3">#REF!</definedName>
    <definedName name="_sub1">#REF!</definedName>
    <definedName name="_sub2">#REF!</definedName>
    <definedName name="_sub3">#REF!</definedName>
    <definedName name="a">#REF!</definedName>
    <definedName name="AA" localSheetId="9" hidden="1">{#N/A,#N/A,FALSE,"ALVENARIA";#N/A,#N/A,FALSE,"BLOCOS";#N/A,#N/A,FALSE,"CINTAS";#N/A,#N/A,FALSE,"CORTINA";#N/A,#N/A,FALSE,"LAJES";#N/A,#N/A,FALSE,"PILARES";#N/A,#N/A,FALSE,"VIGAS"}</definedName>
    <definedName name="AA" hidden="1">{#N/A,#N/A,FALSE,"ALVENARIA";#N/A,#N/A,FALSE,"BLOCOS";#N/A,#N/A,FALSE,"CINTAS";#N/A,#N/A,FALSE,"CORTINA";#N/A,#N/A,FALSE,"LAJES";#N/A,#N/A,FALSE,"PILARES";#N/A,#N/A,FALSE,"VIGAS"}</definedName>
    <definedName name="AREA">#REF!</definedName>
    <definedName name="_xlnm.Print_Area" localSheetId="4">#N/A</definedName>
    <definedName name="_xlnm.Print_Area" localSheetId="7">#N/A</definedName>
    <definedName name="_xlnm.Print_Area" localSheetId="11">'CFF SINAPI'!$A$1:$H$23</definedName>
    <definedName name="_xlnm.Print_Area" localSheetId="8">#N/A</definedName>
    <definedName name="_xlnm.Print_Area" localSheetId="9">'COMPOSIÇÃO BDI '!$A$1:$J$50</definedName>
    <definedName name="_xlnm.Print_Area" localSheetId="13">Composições!$A$1:$G$17</definedName>
    <definedName name="_xlnm.Print_Area" localSheetId="6">#N/A</definedName>
    <definedName name="_xlnm.Print_Area" localSheetId="12">'MC SINAPI'!$A$1:$G$17</definedName>
    <definedName name="_xlnm.Print_Area" localSheetId="5">#N/A</definedName>
    <definedName name="_xlnm.Print_Area" localSheetId="10">'Planilha orçamentaria SINAPI'!$A$1:$I$34</definedName>
    <definedName name="B">#REF!</definedName>
    <definedName name="_xlnm.Database" localSheetId="9">TEXT([1]Dados!$G$29,"mm-aaaa")</definedName>
    <definedName name="_xlnm.Database" localSheetId="13">TEXT([1]Dados!$G$29,"mm-aaaa")</definedName>
    <definedName name="_xlnm.Database">TEXT([2]Dados!$G$29,"mm-aaaa")</definedName>
    <definedName name="BDI">#REF!</definedName>
    <definedName name="BDI.Opcao" hidden="1">[3]DADOS!$C$18</definedName>
    <definedName name="BDI.TipoObra" hidden="1">[3]BDI!$A$138:$A$146</definedName>
    <definedName name="BDI_2.Título" localSheetId="9" hidden="1">'COMPOSIÇÃO BDI '!$J$54</definedName>
    <definedName name="BDI_2.Título" hidden="1">'[4]COMPOSIÇÃO BDI'!$J$54</definedName>
    <definedName name="BDI_3.Título" localSheetId="9" hidden="1">'COMPOSIÇÃO BDI '!$J$94</definedName>
    <definedName name="BDI_3.Título" hidden="1">'[4]COMPOSIÇÃO BDI'!$J$94</definedName>
    <definedName name="CalculoFossa20" localSheetId="9" hidden="1">{#N/A,#N/A,FALSE,"ALVENARIA";#N/A,#N/A,FALSE,"BLOCOS";#N/A,#N/A,FALSE,"CINTAS";#N/A,#N/A,FALSE,"CORTINA";#N/A,#N/A,FALSE,"LAJES";#N/A,#N/A,FALSE,"PILARES";#N/A,#N/A,FALSE,"VIGAS"}</definedName>
    <definedName name="CalculoFossa20" hidden="1">{#N/A,#N/A,FALSE,"ALVENARIA";#N/A,#N/A,FALSE,"BLOCOS";#N/A,#N/A,FALSE,"CINTAS";#N/A,#N/A,FALSE,"CORTINA";#N/A,#N/A,FALSE,"LAJES";#N/A,#N/A,FALSE,"PILARES";#N/A,#N/A,FALSE,"VIGAS"}</definedName>
    <definedName name="Cedro1COMPLETO" localSheetId="9" hidden="1">{#N/A,#N/A,FALSE,"ALVENARIA";#N/A,#N/A,FALSE,"BLOCOS";#N/A,#N/A,FALSE,"CINTAS";#N/A,#N/A,FALSE,"CORTINA";#N/A,#N/A,FALSE,"LAJES";#N/A,#N/A,FALSE,"PILARES";#N/A,#N/A,FALSE,"VIGAS"}</definedName>
    <definedName name="Cedro1COMPLETO" hidden="1">{#N/A,#N/A,FALSE,"ALVENARIA";#N/A,#N/A,FALSE,"BLOCOS";#N/A,#N/A,FALSE,"CINTAS";#N/A,#N/A,FALSE,"CORTINA";#N/A,#N/A,FALSE,"LAJES";#N/A,#N/A,FALSE,"PILARES";#N/A,#N/A,FALSE,"VIGAS"}</definedName>
    <definedName name="ciclovia" localSheetId="9" hidden="1">{#N/A,#N/A,FALSE,"ALVENARIA";#N/A,#N/A,FALSE,"BLOCOS";#N/A,#N/A,FALSE,"CINTAS";#N/A,#N/A,FALSE,"CORTINA";#N/A,#N/A,FALSE,"LAJES";#N/A,#N/A,FALSE,"PILARES";#N/A,#N/A,FALSE,"VIGAS"}</definedName>
    <definedName name="ciclovia" hidden="1">{#N/A,#N/A,FALSE,"ALVENARIA";#N/A,#N/A,FALSE,"BLOCOS";#N/A,#N/A,FALSE,"CINTAS";#N/A,#N/A,FALSE,"CORTINA";#N/A,#N/A,FALSE,"LAJES";#N/A,#N/A,FALSE,"PILARES";#N/A,#N/A,FALSE,"VIGAS"}</definedName>
    <definedName name="ciclovia2" localSheetId="9" hidden="1">{#N/A,#N/A,FALSE,"ALVENARIA";#N/A,#N/A,FALSE,"BLOCOS";#N/A,#N/A,FALSE,"CINTAS";#N/A,#N/A,FALSE,"CORTINA";#N/A,#N/A,FALSE,"LAJES";#N/A,#N/A,FALSE,"PILARES";#N/A,#N/A,FALSE,"VIGAS"}</definedName>
    <definedName name="ciclovia2" hidden="1">{#N/A,#N/A,FALSE,"ALVENARIA";#N/A,#N/A,FALSE,"BLOCOS";#N/A,#N/A,FALSE,"CINTAS";#N/A,#N/A,FALSE,"CORTINA";#N/A,#N/A,FALSE,"LAJES";#N/A,#N/A,FALSE,"PILARES";#N/A,#N/A,FALSE,"VIGAS"}</definedName>
    <definedName name="ciclovia3" localSheetId="9" hidden="1">{#N/A,#N/A,FALSE,"ALVENARIA";#N/A,#N/A,FALSE,"BLOCOS";#N/A,#N/A,FALSE,"CINTAS";#N/A,#N/A,FALSE,"CORTINA";#N/A,#N/A,FALSE,"LAJES";#N/A,#N/A,FALSE,"PILARES";#N/A,#N/A,FALSE,"VIGAS"}</definedName>
    <definedName name="ciclovia3" hidden="1">{#N/A,#N/A,FALSE,"ALVENARIA";#N/A,#N/A,FALSE,"BLOCOS";#N/A,#N/A,FALSE,"CINTAS";#N/A,#N/A,FALSE,"CORTINA";#N/A,#N/A,FALSE,"LAJES";#N/A,#N/A,FALSE,"PILARES";#N/A,#N/A,FALSE,"VIGAS"}</definedName>
    <definedName name="ciclovia4" localSheetId="9" hidden="1">{#N/A,#N/A,FALSE,"ALVENARIA";#N/A,#N/A,FALSE,"BLOCOS";#N/A,#N/A,FALSE,"CINTAS";#N/A,#N/A,FALSE,"CORTINA";#N/A,#N/A,FALSE,"LAJES";#N/A,#N/A,FALSE,"PILARES";#N/A,#N/A,FALSE,"VIGAS"}</definedName>
    <definedName name="ciclovia4" hidden="1">{#N/A,#N/A,FALSE,"ALVENARIA";#N/A,#N/A,FALSE,"BLOCOS";#N/A,#N/A,FALSE,"CINTAS";#N/A,#N/A,FALSE,"CORTINA";#N/A,#N/A,FALSE,"LAJES";#N/A,#N/A,FALSE,"PILARES";#N/A,#N/A,FALSE,"VIGAS"}</definedName>
    <definedName name="ciclovia5" localSheetId="9" hidden="1">{#N/A,#N/A,FALSE,"ALVENARIA";#N/A,#N/A,FALSE,"BLOCOS";#N/A,#N/A,FALSE,"CINTAS";#N/A,#N/A,FALSE,"CORTINA";#N/A,#N/A,FALSE,"LAJES";#N/A,#N/A,FALSE,"PILARES";#N/A,#N/A,FALSE,"VIGAS"}</definedName>
    <definedName name="ciclovia5" hidden="1">{#N/A,#N/A,FALSE,"ALVENARIA";#N/A,#N/A,FALSE,"BLOCOS";#N/A,#N/A,FALSE,"CINTAS";#N/A,#N/A,FALSE,"CORTINA";#N/A,#N/A,FALSE,"LAJES";#N/A,#N/A,FALSE,"PILARES";#N/A,#N/A,FALSE,"VIGAS"}</definedName>
    <definedName name="ciclovia6" localSheetId="9" hidden="1">{#N/A,#N/A,FALSE,"ALVENARIA";#N/A,#N/A,FALSE,"BLOCOS";#N/A,#N/A,FALSE,"CINTAS";#N/A,#N/A,FALSE,"CORTINA";#N/A,#N/A,FALSE,"LAJES";#N/A,#N/A,FALSE,"PILARES";#N/A,#N/A,FALSE,"VIGAS"}</definedName>
    <definedName name="ciclovia6" hidden="1">{#N/A,#N/A,FALSE,"ALVENARIA";#N/A,#N/A,FALSE,"BLOCOS";#N/A,#N/A,FALSE,"CINTAS";#N/A,#N/A,FALSE,"CORTINA";#N/A,#N/A,FALSE,"LAJES";#N/A,#N/A,FALSE,"PILARES";#N/A,#N/A,FALSE,"VIGAS"}</definedName>
    <definedName name="ciclovia7" localSheetId="9" hidden="1">{#N/A,#N/A,FALSE,"ALVENARIA";#N/A,#N/A,FALSE,"BLOCOS";#N/A,#N/A,FALSE,"CINTAS";#N/A,#N/A,FALSE,"CORTINA";#N/A,#N/A,FALSE,"LAJES";#N/A,#N/A,FALSE,"PILARES";#N/A,#N/A,FALSE,"VIGAS"}</definedName>
    <definedName name="ciclovia7" hidden="1">{#N/A,#N/A,FALSE,"ALVENARIA";#N/A,#N/A,FALSE,"BLOCOS";#N/A,#N/A,FALSE,"CINTAS";#N/A,#N/A,FALSE,"CORTINA";#N/A,#N/A,FALSE,"LAJES";#N/A,#N/A,FALSE,"PILARES";#N/A,#N/A,FALSE,"VIGAS"}</definedName>
    <definedName name="ciclovia8" localSheetId="9" hidden="1">{#N/A,#N/A,FALSE,"ALVENARIA";#N/A,#N/A,FALSE,"BLOCOS";#N/A,#N/A,FALSE,"CINTAS";#N/A,#N/A,FALSE,"CORTINA";#N/A,#N/A,FALSE,"LAJES";#N/A,#N/A,FALSE,"PILARES";#N/A,#N/A,FALSE,"VIGAS"}</definedName>
    <definedName name="ciclovia8" hidden="1">{#N/A,#N/A,FALSE,"ALVENARIA";#N/A,#N/A,FALSE,"BLOCOS";#N/A,#N/A,FALSE,"CINTAS";#N/A,#N/A,FALSE,"CORTINA";#N/A,#N/A,FALSE,"LAJES";#N/A,#N/A,FALSE,"PILARES";#N/A,#N/A,FALSE,"VIGAS"}</definedName>
    <definedName name="cotação" localSheetId="9" hidden="1">{#N/A,#N/A,FALSE,"ALVENARIA";#N/A,#N/A,FALSE,"BLOCOS";#N/A,#N/A,FALSE,"CINTAS";#N/A,#N/A,FALSE,"CORTINA";#N/A,#N/A,FALSE,"LAJES";#N/A,#N/A,FALSE,"PILARES";#N/A,#N/A,FALSE,"VIGAS"}</definedName>
    <definedName name="cotação" hidden="1">{#N/A,#N/A,FALSE,"ALVENARIA";#N/A,#N/A,FALSE,"BLOCOS";#N/A,#N/A,FALSE,"CINTAS";#N/A,#N/A,FALSE,"CORTINA";#N/A,#N/A,FALSE,"LAJES";#N/A,#N/A,FALSE,"PILARES";#N/A,#N/A,FALSE,"VIGAS"}</definedName>
    <definedName name="ddd" localSheetId="9" hidden="1">{#N/A,#N/A,FALSE,"ALVENARIA";#N/A,#N/A,FALSE,"BLOCOS";#N/A,#N/A,FALSE,"CINTAS";#N/A,#N/A,FALSE,"CORTINA";#N/A,#N/A,FALSE,"LAJES";#N/A,#N/A,FALSE,"PILARES";#N/A,#N/A,FALSE,"VIGAS"}</definedName>
    <definedName name="ddd" hidden="1">{#N/A,#N/A,FALSE,"ALVENARIA";#N/A,#N/A,FALSE,"BLOCOS";#N/A,#N/A,FALSE,"CINTAS";#N/A,#N/A,FALSE,"CORTINA";#N/A,#N/A,FALSE,"LAJES";#N/A,#N/A,FALSE,"PILARES";#N/A,#N/A,FALSE,"VIGAS"}</definedName>
    <definedName name="DESONERACAO" localSheetId="9" hidden="1">IF(OR(Import.Desoneracao="DESONERADO",Import.Desoneracao="SIM"),"SIM","NÃO")</definedName>
    <definedName name="DESONERACAO" hidden="1">IF(OR(Import.Desoneracao="DESONERADO",Import.Desoneracao="SIM"),"SIM","NÃO")</definedName>
    <definedName name="DOLAR">[5]INSUMOS!$G$8</definedName>
    <definedName name="ersdcefgbrnghrbgbrgfbgfwbvbfgvwfv">#REF!</definedName>
    <definedName name="Excel_BuiltIn_Print_Area_2">#REF!</definedName>
    <definedName name="Excel_BuiltIn_Print_Area_2_1">#REF!</definedName>
    <definedName name="Excel_BuiltIn_Print_Area_2_1_1">#REF!</definedName>
    <definedName name="Excel_BuiltIn_Print_Area_2_1_1_1">#REF!</definedName>
    <definedName name="Excel_BuiltIn_Print_Area_4">#REF!</definedName>
    <definedName name="Fonte" localSheetId="9">#REF!</definedName>
    <definedName name="Fonte" localSheetId="13">#REF!</definedName>
    <definedName name="Fonte">#N/A</definedName>
    <definedName name="Fossa20" localSheetId="9" hidden="1">{#N/A,#N/A,FALSE,"ALVENARIA";#N/A,#N/A,FALSE,"BLOCOS";#N/A,#N/A,FALSE,"CINTAS";#N/A,#N/A,FALSE,"CORTINA";#N/A,#N/A,FALSE,"LAJES";#N/A,#N/A,FALSE,"PILARES";#N/A,#N/A,FALSE,"VIGAS"}</definedName>
    <definedName name="Fossa20" hidden="1">{#N/A,#N/A,FALSE,"ALVENARIA";#N/A,#N/A,FALSE,"BLOCOS";#N/A,#N/A,FALSE,"CINTAS";#N/A,#N/A,FALSE,"CORTINA";#N/A,#N/A,FALSE,"LAJES";#N/A,#N/A,FALSE,"PILARES";#N/A,#N/A,FALSE,"VIGAS"}</definedName>
    <definedName name="fran" localSheetId="9" hidden="1">{#N/A,#N/A,FALSE,"ALVENARIA";#N/A,#N/A,FALSE,"BLOCOS";#N/A,#N/A,FALSE,"CINTAS";#N/A,#N/A,FALSE,"CORTINA";#N/A,#N/A,FALSE,"LAJES";#N/A,#N/A,FALSE,"PILARES";#N/A,#N/A,FALSE,"VIGAS"}</definedName>
    <definedName name="fran" hidden="1">{#N/A,#N/A,FALSE,"ALVENARIA";#N/A,#N/A,FALSE,"BLOCOS";#N/A,#N/A,FALSE,"CINTAS";#N/A,#N/A,FALSE,"CORTINA";#N/A,#N/A,FALSE,"LAJES";#N/A,#N/A,FALSE,"PILARES";#N/A,#N/A,FALSE,"VIGAS"}</definedName>
    <definedName name="Import.Apelido" hidden="1">[3]DADOS!$C$16</definedName>
    <definedName name="Import.BDI.Tipo2" localSheetId="9" hidden="1">'COMPOSIÇÃO BDI '!$J$57</definedName>
    <definedName name="Import.BDI.Tipo2" hidden="1">'[4]COMPOSIÇÃO BDI'!$J$57</definedName>
    <definedName name="Import.BDI.Tipo3" localSheetId="9" hidden="1">'COMPOSIÇÃO BDI '!$J$97</definedName>
    <definedName name="Import.BDI.Tipo3" hidden="1">'[4]COMPOSIÇÃO BDI'!$J$97</definedName>
    <definedName name="Import.CR" hidden="1">[3]DADOS!$C$7</definedName>
    <definedName name="Import.DataBase" hidden="1">OFFSET([3]DADOS!$D$19,0,-1)</definedName>
    <definedName name="Import.DescLote" hidden="1">[3]DADOS!$C$17</definedName>
    <definedName name="Import.Desoneracao" hidden="1">OFFSET([3]DADOS!$D$18,0,-1)</definedName>
    <definedName name="Import.Município" hidden="1">[3]DADOS!$C$6</definedName>
    <definedName name="Import.Proponente" hidden="1">[3]DADOS!$C$5</definedName>
    <definedName name="Import.RespOrçamento" hidden="1">[3]DADOS!$C$22:$C$24</definedName>
    <definedName name="Import.TransfereGOV" hidden="1">[3]DADOS!$C$8</definedName>
    <definedName name="INSUMOS">#REF!</definedName>
    <definedName name="leosde">#REF!</definedName>
    <definedName name="mac" localSheetId="9" hidden="1">{#N/A,#N/A,FALSE,"ALVENARIA";#N/A,#N/A,FALSE,"BLOCOS";#N/A,#N/A,FALSE,"CINTAS";#N/A,#N/A,FALSE,"CORTINA";#N/A,#N/A,FALSE,"LAJES";#N/A,#N/A,FALSE,"PILARES";#N/A,#N/A,FALSE,"VIGAS"}</definedName>
    <definedName name="mac" hidden="1">{#N/A,#N/A,FALSE,"ALVENARIA";#N/A,#N/A,FALSE,"BLOCOS";#N/A,#N/A,FALSE,"CINTAS";#N/A,#N/A,FALSE,"CORTINA";#N/A,#N/A,FALSE,"LAJES";#N/A,#N/A,FALSE,"PILARES";#N/A,#N/A,FALSE,"VIGAS"}</definedName>
    <definedName name="MACAHDO" localSheetId="9" hidden="1">{#N/A,#N/A,FALSE,"ALVENARIA";#N/A,#N/A,FALSE,"BLOCOS";#N/A,#N/A,FALSE,"CINTAS";#N/A,#N/A,FALSE,"CORTINA";#N/A,#N/A,FALSE,"LAJES";#N/A,#N/A,FALSE,"PILARES";#N/A,#N/A,FALSE,"VIGAS"}</definedName>
    <definedName name="MACAHDO" hidden="1">{#N/A,#N/A,FALSE,"ALVENARIA";#N/A,#N/A,FALSE,"BLOCOS";#N/A,#N/A,FALSE,"CINTAS";#N/A,#N/A,FALSE,"CORTINA";#N/A,#N/A,FALSE,"LAJES";#N/A,#N/A,FALSE,"PILARES";#N/A,#N/A,FALSE,"VIGAS"}</definedName>
    <definedName name="MACHADO" localSheetId="9" hidden="1">{#N/A,#N/A,FALSE,"ALVENARIA";#N/A,#N/A,FALSE,"BLOCOS";#N/A,#N/A,FALSE,"CINTAS";#N/A,#N/A,FALSE,"CORTINA";#N/A,#N/A,FALSE,"LAJES";#N/A,#N/A,FALSE,"PILARES";#N/A,#N/A,FALSE,"VIGAS"}</definedName>
    <definedName name="MACHADO" hidden="1">{#N/A,#N/A,FALSE,"ALVENARIA";#N/A,#N/A,FALSE,"BLOCOS";#N/A,#N/A,FALSE,"CINTAS";#N/A,#N/A,FALSE,"CORTINA";#N/A,#N/A,FALSE,"LAJES";#N/A,#N/A,FALSE,"PILARES";#N/A,#N/A,FALSE,"VIGAS"}</definedName>
    <definedName name="NCOMPOSICOES">7</definedName>
    <definedName name="NCOTACOES">15</definedName>
    <definedName name="noo" localSheetId="9" hidden="1">{#N/A,#N/A,FALSE,"ALVENARIA";#N/A,#N/A,FALSE,"BLOCOS";#N/A,#N/A,FALSE,"CINTAS";#N/A,#N/A,FALSE,"CORTINA";#N/A,#N/A,FALSE,"LAJES";#N/A,#N/A,FALSE,"PILARES";#N/A,#N/A,FALSE,"VIGAS"}</definedName>
    <definedName name="noo" hidden="1">{#N/A,#N/A,FALSE,"ALVENARIA";#N/A,#N/A,FALSE,"BLOCOS";#N/A,#N/A,FALSE,"CINTAS";#N/A,#N/A,FALSE,"CORTINA";#N/A,#N/A,FALSE,"LAJES";#N/A,#N/A,FALSE,"PILARES";#N/A,#N/A,FALSE,"VIGAS"}</definedName>
    <definedName name="obra">#REF!</definedName>
    <definedName name="obra1">#REF!</definedName>
    <definedName name="obra2">#REF!</definedName>
    <definedName name="obra3">#REF!</definedName>
    <definedName name="obra4">#REF!</definedName>
    <definedName name="obra5">#REF!</definedName>
    <definedName name="orcamento" localSheetId="9" hidden="1">{#N/A,#N/A,FALSE,"ALVENARIA";#N/A,#N/A,FALSE,"BLOCOS";#N/A,#N/A,FALSE,"CINTAS";#N/A,#N/A,FALSE,"CORTINA";#N/A,#N/A,FALSE,"LAJES";#N/A,#N/A,FALSE,"PILARES";#N/A,#N/A,FALSE,"VIGAS"}</definedName>
    <definedName name="orcamento" hidden="1">{#N/A,#N/A,FALSE,"ALVENARIA";#N/A,#N/A,FALSE,"BLOCOS";#N/A,#N/A,FALSE,"CINTAS";#N/A,#N/A,FALSE,"CORTINA";#N/A,#N/A,FALSE,"LAJES";#N/A,#N/A,FALSE,"PILARES";#N/A,#N/A,FALSE,"VIGAS"}</definedName>
    <definedName name="ORÇAMENTO.BancoRef" hidden="1">#N/A</definedName>
    <definedName name="P.1">#REF!</definedName>
    <definedName name="P.10">#REF!</definedName>
    <definedName name="P.11">#REF!</definedName>
    <definedName name="P.12">#REF!</definedName>
    <definedName name="P.13">#REF!</definedName>
    <definedName name="P.14">#REF!</definedName>
    <definedName name="P.15">#REF!</definedName>
    <definedName name="P.2">#REF!</definedName>
    <definedName name="P.3">#REF!</definedName>
    <definedName name="P.4">#REF!</definedName>
    <definedName name="P.5">#REF!</definedName>
    <definedName name="P.6">#REF!</definedName>
    <definedName name="P.7">#REF!</definedName>
    <definedName name="P.8">#REF!</definedName>
    <definedName name="P.9">#REF!</definedName>
    <definedName name="Pedreiro_de_acabamento">[5]INSUMOS!$B$11</definedName>
    <definedName name="PP1.1">#REF!</definedName>
    <definedName name="PP1.10">#REF!</definedName>
    <definedName name="PP1.11">#REF!</definedName>
    <definedName name="PP1.12">#REF!</definedName>
    <definedName name="PP1.13">#REF!</definedName>
    <definedName name="PP1.14">#REF!</definedName>
    <definedName name="PP1.15">#REF!</definedName>
    <definedName name="PP1.2">#REF!</definedName>
    <definedName name="PP1.3">#REF!</definedName>
    <definedName name="PP1.4">#REF!</definedName>
    <definedName name="PP1.5">#REF!</definedName>
    <definedName name="PP1.6">#REF!</definedName>
    <definedName name="PP1.7">#REF!</definedName>
    <definedName name="PP1.8">#REF!</definedName>
    <definedName name="PP1.9">#REF!</definedName>
    <definedName name="REFERENCIA.Descricao" hidden="1">#N/A</definedName>
    <definedName name="T.1">#REF!</definedName>
    <definedName name="T.10">#REF!</definedName>
    <definedName name="T.11">#REF!</definedName>
    <definedName name="T.12">#REF!</definedName>
    <definedName name="T.13">#REF!</definedName>
    <definedName name="T.14">#REF!</definedName>
    <definedName name="T.15">#REF!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IPOORCAMENTO" hidden="1">IF(VALUE([6]MENU!$O$3)=2,"Licitado","Proposto")</definedName>
    <definedName name="TOT.P">#REF!</definedName>
    <definedName name="TOT1.P">#REF!</definedName>
    <definedName name="TT.1">#REF!</definedName>
    <definedName name="TT.10">#REF!</definedName>
    <definedName name="TT.11">#REF!</definedName>
    <definedName name="TT.12">#REF!</definedName>
    <definedName name="TT.13">#REF!</definedName>
    <definedName name="TT.14">#REF!</definedName>
    <definedName name="TT.15">#REF!</definedName>
    <definedName name="TT.2">#REF!</definedName>
    <definedName name="TT.3">#REF!</definedName>
    <definedName name="TT.4">#REF!</definedName>
    <definedName name="TT.5">#REF!</definedName>
    <definedName name="TT.6">#REF!</definedName>
    <definedName name="TT.7">#REF!</definedName>
    <definedName name="TT.8">#REF!</definedName>
    <definedName name="TT.9">#REF!</definedName>
    <definedName name="wrn.mode_lev.xls." localSheetId="9" hidden="1">{#N/A,#N/A,FALSE,"ALVENARIA";#N/A,#N/A,FALSE,"BLOCOS";#N/A,#N/A,FALSE,"CINTAS";#N/A,#N/A,FALSE,"CORTINA";#N/A,#N/A,FALSE,"LAJES";#N/A,#N/A,FALSE,"PILARES";#N/A,#N/A,FALSE,"VIGAS"}</definedName>
    <definedName name="wrn.mode_lev.xls." hidden="1">{#N/A,#N/A,FALSE,"ALVENARIA";#N/A,#N/A,FALSE,"BLOCOS";#N/A,#N/A,FALSE,"CINTAS";#N/A,#N/A,FALSE,"CORTINA";#N/A,#N/A,FALSE,"LAJES";#N/A,#N/A,FALSE,"PILARES";#N/A,#N/A,FALSE,"VIGAS"}</definedName>
    <definedName name="x" localSheetId="9" hidden="1">{#N/A,#N/A,FALSE,"ALVENARIA";#N/A,#N/A,FALSE,"BLOCOS";#N/A,#N/A,FALSE,"CINTAS";#N/A,#N/A,FALSE,"CORTINA";#N/A,#N/A,FALSE,"LAJES";#N/A,#N/A,FALSE,"PILARES";#N/A,#N/A,FALSE,"VIGAS"}</definedName>
    <definedName name="x">{#N/A,#N/A,FALSE,"ALVENARIA";#N/A,#N/A,FALSE,"BLOCOS";#N/A,#N/A,FALSE,"CINTAS";#N/A,#N/A,FALSE,"CORTINA";#N/A,#N/A,FALSE,"LAJES";#N/A,#N/A,FALSE,"PILARES";#N/A,#N/A,FALSE,"VIGAS"}</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7" i="21" l="1"/>
  <c r="B128" i="26" a="1"/>
  <c r="B130" i="26" s="1"/>
  <c r="G123" i="26"/>
  <c r="A123" i="26"/>
  <c r="A118" i="26"/>
  <c r="A116" i="26"/>
  <c r="E113" i="26"/>
  <c r="J108" i="26"/>
  <c r="Q107" i="26"/>
  <c r="P107" i="26"/>
  <c r="O107" i="26"/>
  <c r="J107" i="26"/>
  <c r="Q106" i="26"/>
  <c r="P106" i="26"/>
  <c r="O106" i="26"/>
  <c r="J106" i="26" a="1"/>
  <c r="J106" i="26" s="1"/>
  <c r="L106" i="26" s="1"/>
  <c r="J105" i="26"/>
  <c r="L105" i="26" s="1"/>
  <c r="P104" i="26"/>
  <c r="Q104" i="26" s="1"/>
  <c r="K104" i="26"/>
  <c r="P103" i="26"/>
  <c r="I103" i="26"/>
  <c r="O103" i="26" s="1"/>
  <c r="A103" i="26"/>
  <c r="Q102" i="26"/>
  <c r="P102" i="26"/>
  <c r="I102" i="26"/>
  <c r="K102" i="26" s="1"/>
  <c r="I101" i="26"/>
  <c r="P101" i="26" s="1"/>
  <c r="I100" i="26"/>
  <c r="Q100" i="26" s="1"/>
  <c r="A100" i="26"/>
  <c r="I99" i="26"/>
  <c r="Q99" i="26" s="1"/>
  <c r="A99" i="26"/>
  <c r="L95" i="26"/>
  <c r="K95" i="26" s="1"/>
  <c r="L92" i="26"/>
  <c r="B88" i="26" a="1"/>
  <c r="B90" i="26" s="1"/>
  <c r="G83" i="26"/>
  <c r="A83" i="26"/>
  <c r="A78" i="26"/>
  <c r="A76" i="26"/>
  <c r="E73" i="26"/>
  <c r="J68" i="26"/>
  <c r="Q67" i="26"/>
  <c r="P67" i="26"/>
  <c r="O67" i="26"/>
  <c r="J67" i="26"/>
  <c r="L55" i="26" s="1"/>
  <c r="K55" i="26" s="1"/>
  <c r="Q66" i="26"/>
  <c r="P66" i="26"/>
  <c r="O66" i="26"/>
  <c r="J66" i="26" a="1"/>
  <c r="J66" i="26" s="1"/>
  <c r="J65" i="26"/>
  <c r="L65" i="26" s="1"/>
  <c r="P64" i="26"/>
  <c r="Q64" i="26" s="1"/>
  <c r="O64" i="26"/>
  <c r="K64" i="26"/>
  <c r="I63" i="26"/>
  <c r="Q63" i="26" s="1"/>
  <c r="A63" i="26"/>
  <c r="I62" i="26"/>
  <c r="Q62" i="26" s="1"/>
  <c r="I61" i="26"/>
  <c r="Q61" i="26" s="1"/>
  <c r="I60" i="26"/>
  <c r="Q60" i="26" s="1"/>
  <c r="A60" i="26"/>
  <c r="I59" i="26"/>
  <c r="Q59" i="26" s="1"/>
  <c r="A59" i="26"/>
  <c r="L52" i="26"/>
  <c r="B49" i="26" a="1"/>
  <c r="B50" i="26" s="1"/>
  <c r="A38" i="26"/>
  <c r="J32" i="26"/>
  <c r="J29" i="26"/>
  <c r="J28" i="26"/>
  <c r="L28" i="26" s="1"/>
  <c r="L27" i="26"/>
  <c r="L26" i="26"/>
  <c r="L25" i="26"/>
  <c r="L24" i="26"/>
  <c r="L23" i="26"/>
  <c r="L22" i="26"/>
  <c r="L21" i="26"/>
  <c r="L20" i="26"/>
  <c r="F1" i="26"/>
  <c r="K62" i="26" l="1"/>
  <c r="O62" i="26"/>
  <c r="L62" i="26" s="1"/>
  <c r="K101" i="26"/>
  <c r="L67" i="26"/>
  <c r="A70" i="26" s="1"/>
  <c r="O101" i="26"/>
  <c r="P62" i="26"/>
  <c r="L66" i="26"/>
  <c r="Q101" i="26"/>
  <c r="Q103" i="26"/>
  <c r="K61" i="26"/>
  <c r="O61" i="26"/>
  <c r="P61" i="26"/>
  <c r="O102" i="26"/>
  <c r="L102" i="26" s="1"/>
  <c r="O104" i="26"/>
  <c r="L64" i="26"/>
  <c r="L107" i="26"/>
  <c r="A110" i="26" s="1"/>
  <c r="L104" i="26"/>
  <c r="A31" i="26"/>
  <c r="B31" i="26"/>
  <c r="K60" i="26"/>
  <c r="K100" i="26"/>
  <c r="B51" i="26"/>
  <c r="O59" i="26"/>
  <c r="P60" i="26"/>
  <c r="K63" i="26"/>
  <c r="B88" i="26"/>
  <c r="K99" i="26"/>
  <c r="B49" i="26"/>
  <c r="K59" i="26"/>
  <c r="O60" i="26"/>
  <c r="P59" i="26"/>
  <c r="B89" i="26"/>
  <c r="O100" i="26"/>
  <c r="O63" i="26"/>
  <c r="O99" i="26"/>
  <c r="P100" i="26"/>
  <c r="K103" i="26"/>
  <c r="B128" i="26"/>
  <c r="P63" i="26"/>
  <c r="P99" i="26"/>
  <c r="B129" i="26"/>
  <c r="L103" i="26" l="1"/>
  <c r="L61" i="26"/>
  <c r="B70" i="26"/>
  <c r="B110" i="26"/>
  <c r="L101" i="26"/>
  <c r="L60" i="26"/>
  <c r="L63" i="26"/>
  <c r="L99" i="26"/>
  <c r="L59" i="26"/>
  <c r="L100" i="26"/>
  <c r="F11" i="22" l="1"/>
  <c r="F17" i="22"/>
  <c r="F13" i="22"/>
  <c r="F10" i="22"/>
  <c r="F15" i="21"/>
  <c r="C12" i="22"/>
  <c r="E15" i="21"/>
  <c r="E12" i="22" s="1"/>
  <c r="C15" i="21"/>
  <c r="A5" i="25"/>
  <c r="A4" i="25"/>
  <c r="A3" i="25"/>
  <c r="A2" i="25"/>
  <c r="A1" i="25"/>
  <c r="G13" i="25"/>
  <c r="E12" i="25"/>
  <c r="G12" i="25" s="1"/>
  <c r="G8" i="25" s="1"/>
  <c r="G15" i="21" s="1"/>
  <c r="H15" i="21" s="1"/>
  <c r="I15" i="21" s="1"/>
  <c r="G11" i="25"/>
  <c r="G10" i="25"/>
  <c r="F6" i="25"/>
  <c r="F21" i="21" l="1"/>
  <c r="F14" i="21"/>
  <c r="F13" i="21"/>
  <c r="F16" i="21"/>
  <c r="F4" i="23"/>
  <c r="H21" i="21"/>
  <c r="F14" i="22" l="1"/>
  <c r="I21" i="21"/>
  <c r="F16" i="22" l="1"/>
  <c r="F20" i="21" s="1"/>
  <c r="F15" i="22"/>
  <c r="F19" i="21" s="1"/>
  <c r="F18" i="21"/>
  <c r="F17" i="21"/>
  <c r="H19" i="21" l="1"/>
  <c r="I19" i="21" s="1"/>
  <c r="H20" i="21"/>
  <c r="I20" i="21" s="1"/>
  <c r="H17" i="21"/>
  <c r="D41" i="21"/>
  <c r="H18" i="21"/>
  <c r="I18" i="21" s="1"/>
  <c r="H16" i="21"/>
  <c r="I16" i="21" s="1"/>
  <c r="H14" i="21"/>
  <c r="H13" i="21"/>
  <c r="I13" i="21" s="1"/>
  <c r="H11" i="21"/>
  <c r="I11" i="21" s="1"/>
  <c r="E11" i="21"/>
  <c r="D12" i="8"/>
  <c r="D11" i="8"/>
  <c r="G10" i="8"/>
  <c r="G12" i="8" s="1"/>
  <c r="G11" i="8" s="1"/>
  <c r="F10" i="8"/>
  <c r="F12" i="8" s="1"/>
  <c r="F11" i="8" s="1"/>
  <c r="E10" i="8"/>
  <c r="E12" i="8" s="1"/>
  <c r="E11" i="8" s="1"/>
  <c r="D9" i="8"/>
  <c r="E8" i="8"/>
  <c r="D7" i="8"/>
  <c r="F14" i="11"/>
  <c r="F13" i="11"/>
  <c r="F15" i="11" s="1"/>
  <c r="F16" i="11" s="1"/>
  <c r="F12" i="11"/>
  <c r="F11" i="11"/>
  <c r="F9" i="11"/>
  <c r="F8" i="11"/>
  <c r="D39" i="19"/>
  <c r="H19" i="19"/>
  <c r="I19" i="19" s="1"/>
  <c r="H18" i="19"/>
  <c r="I18" i="19" s="1"/>
  <c r="H17" i="19"/>
  <c r="F17" i="19"/>
  <c r="H16" i="19"/>
  <c r="F16" i="19"/>
  <c r="H15" i="19"/>
  <c r="F15" i="19"/>
  <c r="I15" i="19" s="1"/>
  <c r="H14" i="19"/>
  <c r="F14" i="19"/>
  <c r="H12" i="19"/>
  <c r="I12" i="19" s="1"/>
  <c r="L11" i="19"/>
  <c r="N11" i="19" s="1"/>
  <c r="H11" i="19"/>
  <c r="I11" i="19" s="1"/>
  <c r="E11" i="19"/>
  <c r="I43" i="17"/>
  <c r="N43" i="17" s="1"/>
  <c r="N42" i="17"/>
  <c r="J42" i="17"/>
  <c r="P42" i="17" s="1"/>
  <c r="I42" i="17"/>
  <c r="I41" i="17"/>
  <c r="N41" i="17" s="1"/>
  <c r="I40" i="17"/>
  <c r="N40" i="17" s="1"/>
  <c r="N38" i="17"/>
  <c r="J38" i="17"/>
  <c r="I37" i="17"/>
  <c r="N37" i="17" s="1"/>
  <c r="I36" i="17"/>
  <c r="N36" i="17" s="1"/>
  <c r="N35" i="17"/>
  <c r="J35" i="17"/>
  <c r="N34" i="17"/>
  <c r="J34" i="17"/>
  <c r="N31" i="17"/>
  <c r="J31" i="17"/>
  <c r="P31" i="17" s="1"/>
  <c r="N30" i="17"/>
  <c r="J30" i="17"/>
  <c r="P30" i="17" s="1"/>
  <c r="N29" i="17"/>
  <c r="J29" i="17"/>
  <c r="P29" i="17" s="1"/>
  <c r="N28" i="17"/>
  <c r="J28" i="17"/>
  <c r="P28" i="17" s="1"/>
  <c r="P27" i="17" s="1"/>
  <c r="N25" i="17"/>
  <c r="J25" i="17"/>
  <c r="P25" i="17" s="1"/>
  <c r="N24" i="17"/>
  <c r="J24" i="17"/>
  <c r="P24" i="17" s="1"/>
  <c r="N23" i="17"/>
  <c r="J23" i="17"/>
  <c r="P23" i="17" s="1"/>
  <c r="N22" i="17"/>
  <c r="J22" i="17"/>
  <c r="P22" i="17" s="1"/>
  <c r="N19" i="17"/>
  <c r="J19" i="17"/>
  <c r="P19" i="17" s="1"/>
  <c r="N18" i="17"/>
  <c r="J18" i="17"/>
  <c r="P18" i="17" s="1"/>
  <c r="N17" i="17"/>
  <c r="J17" i="17"/>
  <c r="P17" i="17" s="1"/>
  <c r="N16" i="17"/>
  <c r="J16" i="17"/>
  <c r="P16" i="17" s="1"/>
  <c r="N13" i="17"/>
  <c r="J13" i="17"/>
  <c r="P13" i="17" s="1"/>
  <c r="N12" i="17"/>
  <c r="J12" i="17"/>
  <c r="P12" i="17" s="1"/>
  <c r="N43" i="18"/>
  <c r="J43" i="18"/>
  <c r="P43" i="18" s="1"/>
  <c r="P42" i="18"/>
  <c r="N42" i="18"/>
  <c r="J42" i="18"/>
  <c r="N41" i="18"/>
  <c r="J41" i="18"/>
  <c r="P41" i="18" s="1"/>
  <c r="N40" i="18"/>
  <c r="J40" i="18"/>
  <c r="P40" i="18" s="1"/>
  <c r="J38" i="18"/>
  <c r="N37" i="18"/>
  <c r="N33" i="18" s="1"/>
  <c r="P44" i="18" s="1"/>
  <c r="J37" i="18"/>
  <c r="P37" i="18" s="1"/>
  <c r="N36" i="18"/>
  <c r="J36" i="18"/>
  <c r="P36" i="18" s="1"/>
  <c r="J35" i="18"/>
  <c r="J34" i="18"/>
  <c r="N31" i="18"/>
  <c r="J31" i="18"/>
  <c r="P31" i="18" s="1"/>
  <c r="N30" i="18"/>
  <c r="J30" i="18"/>
  <c r="P30" i="18" s="1"/>
  <c r="N29" i="18"/>
  <c r="J29" i="18"/>
  <c r="P29" i="18" s="1"/>
  <c r="N28" i="18"/>
  <c r="J28" i="18"/>
  <c r="P28" i="18" s="1"/>
  <c r="P27" i="18" s="1"/>
  <c r="N25" i="18"/>
  <c r="J25" i="18"/>
  <c r="P25" i="18" s="1"/>
  <c r="N24" i="18"/>
  <c r="J24" i="18"/>
  <c r="P24" i="18" s="1"/>
  <c r="N23" i="18"/>
  <c r="J23" i="18"/>
  <c r="P23" i="18" s="1"/>
  <c r="N22" i="18"/>
  <c r="J22" i="18"/>
  <c r="P22" i="18" s="1"/>
  <c r="N19" i="18"/>
  <c r="J19" i="18"/>
  <c r="P19" i="18" s="1"/>
  <c r="N18" i="18"/>
  <c r="J18" i="18"/>
  <c r="P18" i="18" s="1"/>
  <c r="N17" i="18"/>
  <c r="J17" i="18"/>
  <c r="P17" i="18" s="1"/>
  <c r="N16" i="18"/>
  <c r="J16" i="18"/>
  <c r="P16" i="18" s="1"/>
  <c r="N13" i="18"/>
  <c r="J13" i="18"/>
  <c r="P13" i="18" s="1"/>
  <c r="P12" i="18"/>
  <c r="N12" i="18"/>
  <c r="J12" i="18"/>
  <c r="F24" i="9"/>
  <c r="F23" i="9"/>
  <c r="F22" i="9"/>
  <c r="F21" i="9"/>
  <c r="F20" i="9"/>
  <c r="F18" i="9" s="1"/>
  <c r="F14" i="9"/>
  <c r="F8" i="9" s="1"/>
  <c r="F13" i="9"/>
  <c r="F12" i="9"/>
  <c r="F11" i="9"/>
  <c r="F10" i="9"/>
  <c r="N43" i="15"/>
  <c r="J43" i="15"/>
  <c r="P43" i="15" s="1"/>
  <c r="N42" i="15"/>
  <c r="J42" i="15"/>
  <c r="P42" i="15" s="1"/>
  <c r="N41" i="15"/>
  <c r="J41" i="15"/>
  <c r="P41" i="15" s="1"/>
  <c r="N40" i="15"/>
  <c r="J40" i="15"/>
  <c r="P40" i="15" s="1"/>
  <c r="N38" i="15"/>
  <c r="J38" i="15"/>
  <c r="P38" i="15" s="1"/>
  <c r="N37" i="15"/>
  <c r="J37" i="15"/>
  <c r="P37" i="15" s="1"/>
  <c r="N36" i="15"/>
  <c r="J36" i="15"/>
  <c r="P36" i="15" s="1"/>
  <c r="N35" i="15"/>
  <c r="J35" i="15"/>
  <c r="P35" i="15" s="1"/>
  <c r="N34" i="15"/>
  <c r="J34" i="15"/>
  <c r="P34" i="15" s="1"/>
  <c r="N31" i="15"/>
  <c r="J31" i="15"/>
  <c r="P31" i="15" s="1"/>
  <c r="N30" i="15"/>
  <c r="J30" i="15"/>
  <c r="P30" i="15" s="1"/>
  <c r="N29" i="15"/>
  <c r="J29" i="15"/>
  <c r="P29" i="15" s="1"/>
  <c r="N28" i="15"/>
  <c r="J28" i="15"/>
  <c r="P28" i="15" s="1"/>
  <c r="P27" i="15" s="1"/>
  <c r="N25" i="15"/>
  <c r="J25" i="15"/>
  <c r="P25" i="15" s="1"/>
  <c r="N24" i="15"/>
  <c r="J24" i="15"/>
  <c r="P24" i="15" s="1"/>
  <c r="N23" i="15"/>
  <c r="J23" i="15"/>
  <c r="P23" i="15" s="1"/>
  <c r="N22" i="15"/>
  <c r="J22" i="15"/>
  <c r="P22" i="15" s="1"/>
  <c r="N19" i="15"/>
  <c r="J19" i="15"/>
  <c r="P19" i="15" s="1"/>
  <c r="N18" i="15"/>
  <c r="J18" i="15"/>
  <c r="P18" i="15" s="1"/>
  <c r="N17" i="15"/>
  <c r="J17" i="15"/>
  <c r="P17" i="15" s="1"/>
  <c r="N16" i="15"/>
  <c r="J16" i="15"/>
  <c r="P16" i="15" s="1"/>
  <c r="N13" i="15"/>
  <c r="J13" i="15"/>
  <c r="P13" i="15" s="1"/>
  <c r="N12" i="15"/>
  <c r="J12" i="15"/>
  <c r="P12" i="15" s="1"/>
  <c r="P43" i="14"/>
  <c r="N43" i="14"/>
  <c r="P42" i="14"/>
  <c r="N42" i="14"/>
  <c r="P41" i="14"/>
  <c r="N41" i="14"/>
  <c r="P40" i="14"/>
  <c r="N40" i="14"/>
  <c r="P38" i="14"/>
  <c r="N38" i="14"/>
  <c r="P37" i="14"/>
  <c r="N37" i="14"/>
  <c r="P36" i="14"/>
  <c r="N36" i="14"/>
  <c r="P35" i="14"/>
  <c r="N35" i="14"/>
  <c r="P34" i="14"/>
  <c r="N34" i="14"/>
  <c r="N31" i="14"/>
  <c r="J31" i="14"/>
  <c r="P31" i="14" s="1"/>
  <c r="N30" i="14"/>
  <c r="J30" i="14"/>
  <c r="P30" i="14" s="1"/>
  <c r="N29" i="14"/>
  <c r="J29" i="14"/>
  <c r="P29" i="14" s="1"/>
  <c r="N28" i="14"/>
  <c r="J28" i="14"/>
  <c r="P28" i="14" s="1"/>
  <c r="P27" i="14" s="1"/>
  <c r="P25" i="14"/>
  <c r="N25" i="14"/>
  <c r="P24" i="14"/>
  <c r="N24" i="14"/>
  <c r="P23" i="14"/>
  <c r="N23" i="14"/>
  <c r="P22" i="14"/>
  <c r="N22" i="14"/>
  <c r="P19" i="14"/>
  <c r="N19" i="14"/>
  <c r="P18" i="14"/>
  <c r="N18" i="14"/>
  <c r="P17" i="14"/>
  <c r="N17" i="14"/>
  <c r="P16" i="14"/>
  <c r="N16" i="14"/>
  <c r="N13" i="14"/>
  <c r="J13" i="14"/>
  <c r="P13" i="14" s="1"/>
  <c r="P12" i="14"/>
  <c r="P11" i="14" s="1"/>
  <c r="N12" i="14"/>
  <c r="J12" i="14"/>
  <c r="L8" i="14"/>
  <c r="P11" i="17" l="1"/>
  <c r="J41" i="17"/>
  <c r="P41" i="17" s="1"/>
  <c r="P15" i="15"/>
  <c r="P21" i="18"/>
  <c r="P39" i="14"/>
  <c r="J37" i="17"/>
  <c r="P37" i="17" s="1"/>
  <c r="P33" i="17" s="1"/>
  <c r="J40" i="17"/>
  <c r="P40" i="17" s="1"/>
  <c r="P39" i="17" s="1"/>
  <c r="J43" i="17"/>
  <c r="P43" i="17" s="1"/>
  <c r="P33" i="15"/>
  <c r="N33" i="17"/>
  <c r="I14" i="19"/>
  <c r="J36" i="17"/>
  <c r="P36" i="17" s="1"/>
  <c r="P21" i="17"/>
  <c r="I16" i="19"/>
  <c r="P44" i="14"/>
  <c r="N48" i="14" s="1"/>
  <c r="N8" i="14" s="1"/>
  <c r="P33" i="14"/>
  <c r="P15" i="14"/>
  <c r="P21" i="14"/>
  <c r="P11" i="15"/>
  <c r="P21" i="15"/>
  <c r="P44" i="15" s="1"/>
  <c r="P15" i="18"/>
  <c r="P15" i="17"/>
  <c r="I17" i="19"/>
  <c r="I10" i="21"/>
  <c r="D8" i="23" s="1"/>
  <c r="E8" i="23" s="1"/>
  <c r="I14" i="21"/>
  <c r="I17" i="21"/>
  <c r="P11" i="18"/>
  <c r="N48" i="18"/>
  <c r="N8" i="18"/>
  <c r="P8" i="18" s="1"/>
  <c r="P39" i="18"/>
  <c r="P39" i="15"/>
  <c r="P33" i="18"/>
  <c r="N39" i="17"/>
  <c r="P44" i="17" s="1"/>
  <c r="P8" i="14"/>
  <c r="I10" i="19"/>
  <c r="I13" i="19" l="1"/>
  <c r="I20" i="19" s="1"/>
  <c r="I12" i="21"/>
  <c r="D10" i="23" s="1"/>
  <c r="N8" i="17"/>
  <c r="P8" i="17" s="1"/>
  <c r="T43" i="17"/>
  <c r="N48" i="17"/>
  <c r="N48" i="15"/>
  <c r="N8" i="15"/>
  <c r="P8" i="15" s="1"/>
  <c r="I22" i="21" l="1"/>
  <c r="D14" i="23"/>
  <c r="D13" i="23" s="1"/>
  <c r="G10" i="23"/>
  <c r="G14" i="23" s="1"/>
  <c r="E10" i="23" l="1"/>
  <c r="E14" i="23" s="1"/>
  <c r="D7" i="23"/>
  <c r="H10" i="23"/>
  <c r="H14" i="23" s="1"/>
  <c r="F10" i="23"/>
  <c r="F14" i="23" s="1"/>
  <c r="D11" i="23" l="1"/>
  <c r="G13" i="23"/>
  <c r="D4" i="23"/>
  <c r="E13" i="23"/>
  <c r="D9" i="23"/>
  <c r="F13" i="23"/>
  <c r="H13" i="23"/>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<sst xmlns="http://schemas.openxmlformats.org/spreadsheetml/2006/main" count="1051" uniqueCount="338">
  <si>
    <t>ITEM</t>
  </si>
  <si>
    <t>DESCRIÇÃO</t>
  </si>
  <si>
    <t>QUANTIDADE</t>
  </si>
  <si>
    <t>UNIDADE</t>
  </si>
  <si>
    <t>CÓDIGO</t>
  </si>
  <si>
    <t>PREÇO TOTAL</t>
  </si>
  <si>
    <t>CREA</t>
  </si>
  <si>
    <t xml:space="preserve">FORMA DE EXECUÇÃO: </t>
  </si>
  <si>
    <t>Carimbo e assinatura do engenheiro responsável técnico pela elaboração da planilha</t>
  </si>
  <si>
    <t>M2</t>
  </si>
  <si>
    <t>1.1</t>
  </si>
  <si>
    <t>INSTALAÇÕES INICIAIS DA OBRA</t>
  </si>
  <si>
    <t>Carimbo e assinatura do prefeito ou presidente da instituição</t>
  </si>
  <si>
    <t>M</t>
  </si>
  <si>
    <t>UNID.</t>
  </si>
  <si>
    <t>FOLHA Nº:  01/01</t>
  </si>
  <si>
    <t xml:space="preserve">ISS: </t>
  </si>
  <si>
    <t>(     )</t>
  </si>
  <si>
    <t>DIRETA</t>
  </si>
  <si>
    <t>(  x  )</t>
  </si>
  <si>
    <t>INDIRETA</t>
  </si>
  <si>
    <t>BDI:</t>
  </si>
  <si>
    <t>CRONOGRAMA FÍSICO-FINANCEIRO</t>
  </si>
  <si>
    <t>ETAPAS/DESCRIÇÃO</t>
  </si>
  <si>
    <t>FÍSICO/ FINANCEIRO</t>
  </si>
  <si>
    <t>TOTAL  ETAPAS</t>
  </si>
  <si>
    <t>MÊS 1</t>
  </si>
  <si>
    <t>Físico %</t>
  </si>
  <si>
    <t>Financeiro</t>
  </si>
  <si>
    <t>TOTAL</t>
  </si>
  <si>
    <t>142.702/D</t>
  </si>
  <si>
    <t>ANEXO I - PLANILHA ORÇAMENTÁRIA DE CUSTOS</t>
  </si>
  <si>
    <t xml:space="preserve">A N E X O   I I </t>
  </si>
  <si>
    <t>PREÇO UNIT.      C/ LDI</t>
  </si>
  <si>
    <t>PREÇO UNIT.      S/ LDI</t>
  </si>
  <si>
    <t>S/DESONERAÇÃO</t>
  </si>
  <si>
    <t>COMP. 02</t>
  </si>
  <si>
    <t>ANEXO IV - COMPOSIÇÕES DE CUSTO</t>
  </si>
  <si>
    <t>DESCRIÇÃO DO SERVIÇO OU FORNECIMENTO</t>
  </si>
  <si>
    <t>DATA BASE</t>
  </si>
  <si>
    <t>FONTE</t>
  </si>
  <si>
    <t>PREÇO REFERENCIAL</t>
  </si>
  <si>
    <t>COMP. 01</t>
  </si>
  <si>
    <t>DESCRIÇÃO DO INSUMO</t>
  </si>
  <si>
    <t>COEFICIENTE</t>
  </si>
  <si>
    <t>CUSTO UNITÁRIO</t>
  </si>
  <si>
    <t>CUSTO TOTAL</t>
  </si>
  <si>
    <t>H</t>
  </si>
  <si>
    <t>PEDREIRO COM ENCARGOS COMPLEMENTARES</t>
  </si>
  <si>
    <t xml:space="preserve">SERVENTE COM ENCARGOS COMPLEMENTARES </t>
  </si>
  <si>
    <t>OBSERVAÇÃO:</t>
  </si>
  <si>
    <t>FORNECIMENTO E ASSENTAMENTO DE PORTA DE ALUMÍNIO, LINHA SUPREMA ACABAMENTO ANODIZADO, DE ABRIR</t>
  </si>
  <si>
    <t>SETOP</t>
  </si>
  <si>
    <t>PORTA DE ABRIR EM ALUMINIO COM LAMBRI HORIZONTAL/LAMINADA, ACABAMENTO ANODIZADO NATURAL, SEM GUARNICAO/ALIZAR/VISTA</t>
  </si>
  <si>
    <t>SINAPI - 4914</t>
  </si>
  <si>
    <t>BUCHA DE NYLON SEM ABA S10, COM PARAFUSO DE 6,10 X 65 MM EM ACO ZINCADO COM ROSCA SOBERBA, CABECA CHATA E FENDA PHILLIPS</t>
  </si>
  <si>
    <t xml:space="preserve">GUARNICAO/MOLDURA DE ACABAMENTO PARA ESQUADRIA DE ALUMINIO ANODIZADO NATURAL, PARA 1 FACE </t>
  </si>
  <si>
    <t>SINAPI - 7568</t>
  </si>
  <si>
    <t>SINAPI - 40555</t>
  </si>
  <si>
    <t>GRADE DE FERRO EM BARRA CHATA 3/16"</t>
  </si>
  <si>
    <t>2.1</t>
  </si>
  <si>
    <t>3.1</t>
  </si>
  <si>
    <t>ED-50152</t>
  </si>
  <si>
    <t>2.2</t>
  </si>
  <si>
    <t>MEMORIA DE CALCULO</t>
  </si>
  <si>
    <t>FÓRMULA/MEMÓRIA</t>
  </si>
  <si>
    <t>ED-50416</t>
  </si>
  <si>
    <t xml:space="preserve">EXECUÇÃO  DE  CALÇAMENTO  EM  BLOQUETE  -  E  =  8  CM  -  FCK =  35  MPA, INCLUINDO   FORNECIMENTO   E   TRANSPORTE   DE   TODOS   OS   MATERIAIS, COLCHÃO DE ASSENTAMENTO E = 6CM   </t>
  </si>
  <si>
    <t>FORNECIMENTO E COLOCAÇÃO DE PLACA DE OBRA EM CHAPA GALVANIZADA #26, ESP. 0,45 MM, PLOTADA COM ADESIVO VINÍLICO, AFIXADA COM REBITES 4,8X40 MM, EM ESTRUTURA METÁLICA DE METALON 20X20 MM, ESP. 1,25 MM, INCLUSIVE SUPORTE EM EUCALIPTO AUTOCLAVADO PINTADO COM TINTA PVA DUAS (2) DEMÃOS</t>
  </si>
  <si>
    <t>ED-16660</t>
  </si>
  <si>
    <t>M3</t>
  </si>
  <si>
    <t xml:space="preserve">TOTAL DA OBRA </t>
  </si>
  <si>
    <t>3.2</t>
  </si>
  <si>
    <r>
      <t>PREFEITURA: Prefeitura Municipal de Bocaina de Minas</t>
    </r>
    <r>
      <rPr>
        <b/>
        <sz val="10"/>
        <rFont val="Calibri"/>
        <family val="2"/>
      </rPr>
      <t xml:space="preserve"> - MG</t>
    </r>
  </si>
  <si>
    <t xml:space="preserve">OBRA:  Calçamento em bloquete </t>
  </si>
  <si>
    <t>4.1</t>
  </si>
  <si>
    <t>4.2</t>
  </si>
  <si>
    <t>VALOR :</t>
  </si>
  <si>
    <t>3.3</t>
  </si>
  <si>
    <t>5.1</t>
  </si>
  <si>
    <t>5.2</t>
  </si>
  <si>
    <t>5.3</t>
  </si>
  <si>
    <t>DRENAGEM</t>
  </si>
  <si>
    <t>REGULARIZAÇÃO E COMPACTAÇÃO DE TERRENO COM ROLO VIBRATÓRIO</t>
  </si>
  <si>
    <t>5.4</t>
  </si>
  <si>
    <t>3.4</t>
  </si>
  <si>
    <t>SINAPI-94287</t>
  </si>
  <si>
    <t>EXECUÇÃO DE SARJETA DE CONCRETO USINADO, MOLDADA IN LOCO EM TRECHO RETO, 30 CM BASE X 10 CM ALTURA. AF_06/2016</t>
  </si>
  <si>
    <t>6.1</t>
  </si>
  <si>
    <t>6.2</t>
  </si>
  <si>
    <t>ESCAVAÇÃO E CARGA MECANIZADA EM MATERIAL DE 1ª CATEGORIA</t>
  </si>
  <si>
    <t>REATERRO COMPACTADO DE VALA COM EQUIPAMENTO PLACA VIBRATÓRIA</t>
  </si>
  <si>
    <t>BOCA DE LOBO SIMPLES (TIPO B - CONCRETO), QUADRO, GRELHA E CANTONEIRA, INCLUSIVE ESCAVAÇÃO, REATERRO E BOTA-FORA</t>
  </si>
  <si>
    <t>CALÇAMENTO EM BLOQUETE</t>
  </si>
  <si>
    <t>MÊS 2</t>
  </si>
  <si>
    <t>MÊS 3</t>
  </si>
  <si>
    <t>BARRACÃO DE OBRA, EM CHAPA DE COMPENSADO RESINADO, INCLUSIVE INSTALAÇÕES SANITÁRIAS E MOBILIÁRIO - PADRÃO DER-MG</t>
  </si>
  <si>
    <t xml:space="preserve">ED-50135 </t>
  </si>
  <si>
    <t>1.2</t>
  </si>
  <si>
    <t>2.3</t>
  </si>
  <si>
    <t>2.4</t>
  </si>
  <si>
    <t>4.3</t>
  </si>
  <si>
    <t>4.4</t>
  </si>
  <si>
    <t>5.5</t>
  </si>
  <si>
    <t>6.3</t>
  </si>
  <si>
    <t>6.4</t>
  </si>
  <si>
    <t xml:space="preserve">ANEXO X - BOLETIM DE MEDIÇÃO </t>
  </si>
  <si>
    <t>BOLETIM DE MEDIÇÃO Nº:</t>
  </si>
  <si>
    <t>CONVÊNIO Nº:</t>
  </si>
  <si>
    <t>CONCEDENTE:</t>
  </si>
  <si>
    <t>MEDIÇÃO Nº:</t>
  </si>
  <si>
    <t xml:space="preserve">nº Folha </t>
  </si>
  <si>
    <t>01</t>
  </si>
  <si>
    <t>RECURSO PROPRIO</t>
  </si>
  <si>
    <t>LICITAÇÃO Nº:   101/2021</t>
  </si>
  <si>
    <t>ORDEM DE SERVIÇO:</t>
  </si>
  <si>
    <t>CONTRATO Nº:   015/2021</t>
  </si>
  <si>
    <t>Valor CT/ TA:</t>
  </si>
  <si>
    <t>Saldo Anterior:</t>
  </si>
  <si>
    <t>Esta medição:</t>
  </si>
  <si>
    <t>Saldo:</t>
  </si>
  <si>
    <t>SERVIÇOS EXECUTADOS</t>
  </si>
  <si>
    <t>QUANT.</t>
  </si>
  <si>
    <t>QUANTIDADES EXECUTADAS</t>
  </si>
  <si>
    <t>VALOR UNIT.</t>
  </si>
  <si>
    <t>VALORES EXECUTADOS R$</t>
  </si>
  <si>
    <t>PREVISTA (Plano de Trabalho)</t>
  </si>
  <si>
    <t>Anterior</t>
  </si>
  <si>
    <t>No período</t>
  </si>
  <si>
    <t>Acumulado</t>
  </si>
  <si>
    <r>
      <t xml:space="preserve">Cálculo do Reajuste: </t>
    </r>
    <r>
      <rPr>
        <sz val="9"/>
        <color indexed="8"/>
        <rFont val="Arial"/>
        <family val="2"/>
      </rPr>
      <t>0,00</t>
    </r>
  </si>
  <si>
    <t>Fator de Reajust. 0,00</t>
  </si>
  <si>
    <t>Total s/ reajust.</t>
  </si>
  <si>
    <t>Total c/ reajust.</t>
  </si>
  <si>
    <t xml:space="preserve">Contratante: </t>
  </si>
  <si>
    <t>Fiscalização/ Prefeitura</t>
  </si>
  <si>
    <t xml:space="preserve">Contratada: </t>
  </si>
  <si>
    <t>Engº Responsável técnico CREA</t>
  </si>
  <si>
    <t xml:space="preserve">Importa a presente medição em            </t>
  </si>
  <si>
    <t>Assinatura Prefeito</t>
  </si>
  <si>
    <t>Assinatura Engenheiro Prefeitura</t>
  </si>
  <si>
    <t>Assinatura do Responsável</t>
  </si>
  <si>
    <t>Assinatura Engenheiro Responsável</t>
  </si>
  <si>
    <t>PREFEITURA:  PREFEITURA MUNICIPAL DE BOCAINA DE MINAS</t>
  </si>
  <si>
    <t>CONTRATADA: JRC ENGENHARIA E CONSTRUÇÃO LTDA</t>
  </si>
  <si>
    <t>OBRA: CALÇAMENTO EM BLOQUETE</t>
  </si>
  <si>
    <t>DATA DA EMISSÃO: 06 DE MAIO DE 2022</t>
  </si>
  <si>
    <t>SANTO ANTÔNIO ( RUA ABAIXO DA CAIXA D'ÁGUA) &gt; TRECHO 1 E 2</t>
  </si>
  <si>
    <t xml:space="preserve">CALÇAMENTO EM BLOQUETE </t>
  </si>
  <si>
    <t>BARRACÃO DE OBRA, EM CHAPA DE COMPENSADO RESINADO, INCLUSIVE INSTALAÇÕES SANITÁRIAS E MOBILIADO - PADRÃO DER-MG</t>
  </si>
  <si>
    <t>GUIA DE MEIO FIO, EM CONCRETO COM FCK 20 MPA, PRÉ MOLDADA, MFC-01 PADRÃO DER-MG, DIMENSÕES (12X16,7X35)CM, EXCLUSIVE SARJETA, INCLUSIVE ESCAVAÇÃO, APILOAMENTO E TRANSPORTE COM RETIRADA DO MATERIAL ESCAVADO (EM CAÇAMBA)</t>
  </si>
  <si>
    <t xml:space="preserve">EXECUÇÃO DE CALÇAMENTO EM BLOQUETE - E=8 CM - FCK=35MPA, INCLUINDO FORNECIMENTO E TRANSPORTE DE TODOS OS MATERIAIS, COLCHÃO DE ASSENTAMENTO E </t>
  </si>
  <si>
    <t>EXECUÇÃO DE SARJETA DE CONCRETO USINADO, MOLDADA IN LOCO, EM TRECHO RETO, 30 CM DE BASE X 10 CM DE ALTURA. AF: _06/2016</t>
  </si>
  <si>
    <t>MIRANTÃO (SAÍDA PARA RESENDE)</t>
  </si>
  <si>
    <t>MIRANTÃO (SAÍDA PARA BOCAINA)</t>
  </si>
  <si>
    <t>SANTO ANTÔNIO (SAÍDA SENTIDO COMUNIDADE PAIOL)</t>
  </si>
  <si>
    <t>TUBO DE CONCETO SIMPLES, CLASSE PS1, DIAMETRO 400MM, INCLUSIVE FORNECIMENTO, ASSENTAMENTO E REJUNTAMENTO</t>
  </si>
  <si>
    <t>CAIXA DE CAPTAÇÃO E DRENAGEM TIPO A (120X120X150 CM), D=500 MM A 1500 MM, INCLUSIVE ESCAVAÇÃO, REATERRO E BOTA-FORA</t>
  </si>
  <si>
    <t>EXECUÇÃO DE CALÇAMENTO EM BLOQUETE - E=8 CM - FCK=35MPA, INCLUINDO FORNECIMENTO E TRANSPORTE DE TODOS OS MATERIAIS, COLCHÃO DE ASSENTAMENTO E= 6CM</t>
  </si>
  <si>
    <t>PERIODO DE EXECUÇÃO: 17/03/2022 A 06/05/2022</t>
  </si>
  <si>
    <t>02</t>
  </si>
  <si>
    <t>DATA DA EMISSÃO: 23 DE JUNHO DE 2022</t>
  </si>
  <si>
    <t>PERIODO DE EXECUÇÃO: 07/05/2022 A 23/06/2022</t>
  </si>
  <si>
    <t>03</t>
  </si>
  <si>
    <t>DATA DA EMISSÃO: 18 DE JULHO DE 2022</t>
  </si>
  <si>
    <t>PERIODO DE EXECUÇÃO: 24/06/2022 A 18/07/2022</t>
  </si>
  <si>
    <t>04</t>
  </si>
  <si>
    <t>DATA DA EMISSÃO: 29 DE AGOSTO DE 2022</t>
  </si>
  <si>
    <t>PERIODO DE EXECUÇÃO: 19/07/2022 A 29/08/2022</t>
  </si>
  <si>
    <t>ED-50153</t>
  </si>
  <si>
    <t>3,00 X 2,00</t>
  </si>
  <si>
    <t>ED-51123</t>
  </si>
  <si>
    <t>REGULARIZAÇÃO E COMPACTAÇÃO DE TERRENO COM PLACA VIBRATÓRIA</t>
  </si>
  <si>
    <t>ASSENTAMENTO DE GUIA (MEIO-FIO) EM TRECHO RETO, CONFECCIONADA EM CONCRETO PRÉ-FABRICADO, DIMENSÕES 100X15X13X30 CM (COMPRIMENTO X BASE INFERIOR X BASE SUPERIOR X ALTURA), PARA VIAS URBANAS (USO VIÁRIO). AF_06/2016</t>
  </si>
  <si>
    <r>
      <rPr>
        <b/>
        <sz val="10"/>
        <rFont val="Arial"/>
        <family val="2"/>
      </rPr>
      <t>PRAZO DA OBRA:</t>
    </r>
    <r>
      <rPr>
        <sz val="10"/>
        <rFont val="Arial"/>
        <family val="2"/>
      </rPr>
      <t xml:space="preserve"> 3 MESES</t>
    </r>
  </si>
  <si>
    <t>PRAZO DE EXECUÇÃO: 3 Meses</t>
  </si>
  <si>
    <t>SINAPI-94273</t>
  </si>
  <si>
    <t>1,50 X 3,00 PLACA DE OBRA</t>
  </si>
  <si>
    <t>405,00 x 7,00 &gt; COMP.TOTAL X LARG</t>
  </si>
  <si>
    <t>405,00 x 6,40 &gt; COMP.TOTAL X LARG</t>
  </si>
  <si>
    <t>(405,00 x 2,00) + (7,00 x 2,00) &gt; COMP.TOTAL DO CALÇAMENTO X LADOS + COMP. DE TRAVAMENTO X QUANT.</t>
  </si>
  <si>
    <t xml:space="preserve">(405,00 x 2,00) &gt; COMP.TOTAL DO CALÇAMENTO X LADOS </t>
  </si>
  <si>
    <t>LOCAL:  Estrada de acesso entre a comunidade de santo antônio e mirantão - Bocaina de Minas /MG</t>
  </si>
  <si>
    <r>
      <t xml:space="preserve">LOCAL:  Estrada de acesso entre a comunidade de Santo </t>
    </r>
    <r>
      <rPr>
        <sz val="10"/>
        <rFont val="Calibri"/>
        <family val="2"/>
      </rPr>
      <t>A</t>
    </r>
    <r>
      <rPr>
        <b/>
        <sz val="10"/>
        <rFont val="Calibri"/>
        <family val="2"/>
      </rPr>
      <t>ntônio e Mirantão - Bocaina de Minas</t>
    </r>
    <r>
      <rPr>
        <b/>
        <sz val="10"/>
        <color indexed="8"/>
        <rFont val="Calibri"/>
        <family val="2"/>
      </rPr>
      <t xml:space="preserve"> /MG</t>
    </r>
  </si>
  <si>
    <t>CÁLCULO B.D.I. (NOVA REGRA)</t>
  </si>
  <si>
    <t>TIPO DE OBRA</t>
  </si>
  <si>
    <t>(MARQUE X)</t>
  </si>
  <si>
    <t>CONSTRUÇÃO DE EDIFÍCIOS</t>
  </si>
  <si>
    <t>CONSTRUÇÃO DE RODOVIAS E FERROVIAS</t>
  </si>
  <si>
    <t>X</t>
  </si>
  <si>
    <t>CONSTRUÇÃO DE REDES DE ABASTECIMENTO DE ÁGUA, COLETA DE ESGOTO E CONSTRUÇÕES CORRELATAS</t>
  </si>
  <si>
    <t>CONSTRUÇÃO E MANUTENÇÃO DE ESTAÇÕES E REDES DE DISTRIBUIÇÃO DE ENERGIA ELÉTRICA</t>
  </si>
  <si>
    <t>OBRAS PORTUÁRIAS, MARÍTIMAS E FLUVIAIS</t>
  </si>
  <si>
    <t>FORNECIMENTO DE MATERIAIS E EQUIPAMENTOS</t>
  </si>
  <si>
    <t>CÁLCULO DO BDI</t>
  </si>
  <si>
    <t>VALORES BASE</t>
  </si>
  <si>
    <t>1 QUARTIL</t>
  </si>
  <si>
    <t>MÉDIO</t>
  </si>
  <si>
    <t>3 QUARTIL</t>
  </si>
  <si>
    <t>Administração Central</t>
  </si>
  <si>
    <t>Seguro e Garantia</t>
  </si>
  <si>
    <t>Risco</t>
  </si>
  <si>
    <t>Despesas Financeiras</t>
  </si>
  <si>
    <t xml:space="preserve">Lucro </t>
  </si>
  <si>
    <t>PIS</t>
  </si>
  <si>
    <t>-</t>
  </si>
  <si>
    <t>COFINS</t>
  </si>
  <si>
    <t>ISS</t>
  </si>
  <si>
    <t>BDI</t>
  </si>
  <si>
    <t>VERIFICAÇÃO</t>
  </si>
  <si>
    <t>LIMITE MÍNIMO BDI</t>
  </si>
  <si>
    <t>LIMITE MÁXIMO BDI</t>
  </si>
  <si>
    <t>BDI CALCULADO</t>
  </si>
  <si>
    <t>BDI ACEITO</t>
  </si>
  <si>
    <t>BDI CALCULADO COM DESONERAÇÃO</t>
  </si>
  <si>
    <r>
      <t>DATA: 08</t>
    </r>
    <r>
      <rPr>
        <b/>
        <sz val="10"/>
        <rFont val="Calibri"/>
        <family val="2"/>
      </rPr>
      <t>/01/2024</t>
    </r>
  </si>
  <si>
    <r>
      <t>REGIÃO/MÊS DE REFERÊNCIA: SEINFRA REGIÃO LESTE AGOSTO</t>
    </r>
    <r>
      <rPr>
        <b/>
        <sz val="10"/>
        <rFont val="Calibri"/>
        <family val="2"/>
      </rPr>
      <t>/2023 E SINAPI OUTUBRO/2023 PREÇO DE CUSTO COM DESONERAÇÃO FISCAL - LEI 12.546/2011 e 12.844/2013</t>
    </r>
  </si>
  <si>
    <t>2.5</t>
  </si>
  <si>
    <t>2.6</t>
  </si>
  <si>
    <t>SINAPI-97912</t>
  </si>
  <si>
    <t>TRANSPORTE COM CAMINHÃO BASCULANTE DE 6 M³, EM VIA URBANA EM LEITO NATURAL (UNIDADE: M3XKM). AF_07/2020</t>
  </si>
  <si>
    <t>M3XKM</t>
  </si>
  <si>
    <t>3,63</t>
  </si>
  <si>
    <t>SINAPI-100975</t>
  </si>
  <si>
    <t>CARGA, MANOBRA E DESCARGA DE SOLOS E MATERIAIS GRANULARES EM CAMINHÃO BASCULANTE 14 M³ - CARGA COM PÁ CARREGADEIRA (CAÇAMBA DE 1,7 A 2,8 M³ / 128 HP) E DESCARGA LIVRE (UNIDADE: M3). AF_07/2020</t>
  </si>
  <si>
    <t>SINAPI-94288</t>
  </si>
  <si>
    <t>SINAPI-94289</t>
  </si>
  <si>
    <t>AREIA MÉDIA = 0,0568 x 2592,00 (ÁREA CALÇAMENTO) + 
PÓ DE PEDRA = 0,0087 x 2592,00 (ÁREA CALÇAMENTO)</t>
  </si>
  <si>
    <t>ÁREA DE CARGA x 16,60KM (DMT)</t>
  </si>
  <si>
    <t>DATA: 08/01/2024</t>
  </si>
  <si>
    <t>103689</t>
  </si>
  <si>
    <t>FORNECIMENTO E INSTALAÇÃO DE PLACA DE OBRA COM CHAPA GALVANIZADA E ESTRUTURA DE MADEIRA. AF_03/2022_PS</t>
  </si>
  <si>
    <t>100576</t>
  </si>
  <si>
    <t>REGULARIZAÇÃO E COMPACTAÇÃO DE SUBLEITO DE SOLO  PREDOMINANTEMENTE ARGILOSO. AF_11/2019</t>
  </si>
  <si>
    <t>94273</t>
  </si>
  <si>
    <t>CALÇAMENTO EM BLOQUETE - VALE DO NEGO</t>
  </si>
  <si>
    <t>MÊS 4</t>
  </si>
  <si>
    <t>100973</t>
  </si>
  <si>
    <t>CARGA, MANOBRA E DESCARGA DE SOLOS E MATERIAIS GRANULARES EM CAMINHÃO BASCULANTE 6 M³ - CARGA COM PÁ CARREGADEIRA (CAÇAMBA DE 1,7 A 2,8 M³ /
128 HP) E DESCARGA LIVRE (UNIDADE: M3).</t>
  </si>
  <si>
    <t>PREFEITURA: Prefeitura Municipal de Bocaina de Minas - MG</t>
  </si>
  <si>
    <t>LOCAL:  Estrada de acesso entre a comunidade de Santo Antônio e Mirantão - Bocaina de Minas /MG</t>
  </si>
  <si>
    <t>PRAZO DE EXECUÇÃO: 4 Meses</t>
  </si>
  <si>
    <r>
      <t>PRAZO DE EXECUÇÃO: 4</t>
    </r>
    <r>
      <rPr>
        <b/>
        <sz val="10"/>
        <color indexed="8"/>
        <rFont val="Calibri"/>
        <family val="2"/>
      </rPr>
      <t xml:space="preserve"> Meses</t>
    </r>
  </si>
  <si>
    <t>OBRA:  Pavimentação de via rural - bloco intertravado</t>
  </si>
  <si>
    <t>SERVIÇOS PRELIMINARES</t>
  </si>
  <si>
    <t>OBRAS VIÁRIAS (PAVIMENTAÇÃO)</t>
  </si>
  <si>
    <t>92398</t>
  </si>
  <si>
    <t>EXECUÇÃO DE PAVIMENTO EM PISO INTERTRAVADO, COM BLOCO RETANGULAR COR NATURAL DE 20 X 10 CM, ESPESSURA 8 CM. AF_10/2022</t>
  </si>
  <si>
    <t>95876</t>
  </si>
  <si>
    <t>TRANSPORTE COM CAMINHÃO BASCULANTE DE 14 M³, EM VIA URBANA PAVIMENTADA, DMT ATÉ 30 KM (UNIDADE: M3XKM). AF_07/2020</t>
  </si>
  <si>
    <t xml:space="preserve">93593 </t>
  </si>
  <si>
    <t>TRANSPORTE COM CAMINHÃO BASCULANTE DE 14 M³, EM VIA URBANA PAVIMENTADA, ADICIONAL PARA DMT EXCEDENTE A 30 KM (UNIDADE: M3XKM). AF_07/2020</t>
  </si>
  <si>
    <t xml:space="preserve">CARGA x DMT DE TRANSPORTE ATÉ 30KM </t>
  </si>
  <si>
    <t>CARGA x DMT DE TRANSPORTE ACIMA DE 30KM (53,80KM)</t>
  </si>
  <si>
    <t xml:space="preserve">94287 </t>
  </si>
  <si>
    <t>EXECUÇÃO DE SARJETA DE CONCRETO USINADO, MOLDADA IN LOCO EM TRECHO RETO, 30 CM BASE X 10 CM ALTURA. AF_01/2024</t>
  </si>
  <si>
    <r>
      <t>LOCAL: Continuação estrada de ligação entre Bocaina de Minas e Resende</t>
    </r>
    <r>
      <rPr>
        <b/>
        <sz val="10"/>
        <color indexed="8"/>
        <rFont val="Calibri"/>
        <family val="2"/>
      </rPr>
      <t xml:space="preserve"> - Bocaina de Minas /MG</t>
    </r>
  </si>
  <si>
    <t>LOCAL: Continuação estrada de ligação entre Bocaina de Minas e Resende - Bocaina de Minas /MG</t>
  </si>
  <si>
    <t>ANEXO C - MEMORIA DE CALCULO</t>
  </si>
  <si>
    <t>2.7</t>
  </si>
  <si>
    <t>2.8</t>
  </si>
  <si>
    <t>ANEXO A - PLANILHA ORÇAMENTÁRIA DE CUSTOS</t>
  </si>
  <si>
    <t>A N E X O B</t>
  </si>
  <si>
    <t>AREIA MÉDIA = 0,0568 x 4.777,60 (ÁREA CALÇAMENTO) + 
PÓ DE PEDRA = 0,0087 x 4.777,60 (ÁREA CALÇAMENTO)</t>
  </si>
  <si>
    <r>
      <t xml:space="preserve">REGIÃO/MÊS DE REFERÊNCIA: </t>
    </r>
    <r>
      <rPr>
        <b/>
        <sz val="10"/>
        <rFont val="Calibri"/>
        <family val="2"/>
      </rPr>
      <t>SINAPI FEVEREIRO/2025 PREÇO DE CUSTO COM DESONERAÇÃO FISCAL - LEI 12.546/2011 e 12.844/2013</t>
    </r>
  </si>
  <si>
    <r>
      <t>DATA: 01</t>
    </r>
    <r>
      <rPr>
        <b/>
        <sz val="10"/>
        <rFont val="Calibri"/>
        <family val="2"/>
      </rPr>
      <t>/04/2026</t>
    </r>
  </si>
  <si>
    <t>2.9</t>
  </si>
  <si>
    <t>COMPOSIÇÃO DE CUSTO UNITÁRIO</t>
  </si>
  <si>
    <t>SOLEIRA DE DISPERSÃO PARA DRENAGEM DE ESTRADAS VICINAIS EM PONTOS DE JUSANTE, SARJETA DE SAÍDA EM CONCRETO E SEIXO ROLADO COM LARGURA DE 50CM, MEIOS-FIOS LATERAIS DE CONCRETO NAS DIMENSÕES 13X15X30CM</t>
  </si>
  <si>
    <t>SINAPI</t>
  </si>
  <si>
    <t>ASSENTAMENTO DE GUIA (MEIO-FIO) EM TRECHO RETO, CONFECCIONADA EM CONCRETO PRÉ-FABRICADO, DIMENSÕES 100X15X13X30 CM (COMPRIMENTO X BASE INFERIOR X BASE SUPERIOR X ALTURA). AF_01/2024</t>
  </si>
  <si>
    <t>SINAPI-I</t>
  </si>
  <si>
    <t>SEIXO ROLADO PARA APLICACAO EM CONCRETO (POSTO PEDREIRA/FORNECEDOR, SEM FRETE)</t>
  </si>
  <si>
    <t xml:space="preserve"> SERVENTE COM ENCARGOS COMPLEMENTARES</t>
  </si>
  <si>
    <t>___________________________________________________</t>
  </si>
  <si>
    <t>Priscila Cristina De Paula Neto</t>
  </si>
  <si>
    <r>
      <t>Engenheira Civil - CREA/MG n</t>
    </r>
    <r>
      <rPr>
        <sz val="10"/>
        <rFont val="Calibri"/>
        <family val="2"/>
      </rPr>
      <t>º</t>
    </r>
    <r>
      <rPr>
        <sz val="10"/>
        <rFont val="Arial"/>
        <family val="2"/>
      </rPr>
      <t xml:space="preserve"> 142702/D</t>
    </r>
  </si>
  <si>
    <t>OBRA:  Pavimentação de via rural - bloco intertravado - etapa 03</t>
  </si>
  <si>
    <t>COMP. 001</t>
  </si>
  <si>
    <t xml:space="preserve">4 DE CADA LADO </t>
  </si>
  <si>
    <t>(40,00 + 40,00 + 58,00 + 51,05 + 52,30 + 40,00 + 40,00 + 40,00 + 46,30 + 40,00) x 7,00 &gt; COMP. X LARG.</t>
  </si>
  <si>
    <t xml:space="preserve">((40,00 + 40,00 + 58,00 + 51,05 + 52,30 + 40,00 + 40,00 + 40,00 + 46,30 + 40,00) x 2,00)  + (7,00 x 2,00) &gt; COMP. (EXTENSÃO) x LADOS + TRAVAMENTOS </t>
  </si>
  <si>
    <t>(40,00 + 40,00 + 58,00 + 51,05 + 52,30 + 40,00 + 40,00 + 40,00 + 46,30 + 40,00) x 6,40 &gt; COMP. X LARG.</t>
  </si>
  <si>
    <t xml:space="preserve">((40,00 + 40,00 + 58,00 + 51,05 + 52,30 + 40,00 + 40,00 + 40,00 + 46,30 + 40,00) x 2,00) &gt; COMP. (EXTENSÃO) x LADOS </t>
  </si>
  <si>
    <t>Grau de Sigilo</t>
  </si>
  <si>
    <t>#PUBLICO</t>
  </si>
  <si>
    <t>Nº OPERAÇÃO</t>
  </si>
  <si>
    <t>Nº TRANSFEREGOV</t>
  </si>
  <si>
    <t>PROPONENTE / TOMADOR</t>
  </si>
  <si>
    <t>APELIDO DO EMPREENDIMENTO / DESCRIÇÃO DO LOTE</t>
  </si>
  <si>
    <t>Conforme legislação tributária municipal, definir estimativa de percentual da base de cálculo para o ISS:</t>
  </si>
  <si>
    <t>Sobre a base de cálculo, definir a respectiva alíquota do ISS (entre 2% e 5%):</t>
  </si>
  <si>
    <t>BDI 1</t>
  </si>
  <si>
    <t>Construção de Praças Urbanas, Rodovias, Ferrovias e recapeamento e pavimentação de vias urbanas</t>
  </si>
  <si>
    <t>Itens</t>
  </si>
  <si>
    <t>Siglas</t>
  </si>
  <si>
    <t>% Adotado</t>
  </si>
  <si>
    <t>Situação</t>
  </si>
  <si>
    <t>1º Quartil</t>
  </si>
  <si>
    <t>Médio</t>
  </si>
  <si>
    <t>3º Quartil</t>
  </si>
  <si>
    <t xml:space="preserve">Administração Central </t>
  </si>
  <si>
    <t>AC</t>
  </si>
  <si>
    <t>SG</t>
  </si>
  <si>
    <t>Riscos</t>
  </si>
  <si>
    <t>R</t>
  </si>
  <si>
    <t>Despesas financeira</t>
  </si>
  <si>
    <t>DF</t>
  </si>
  <si>
    <t>Lucro</t>
  </si>
  <si>
    <t>L</t>
  </si>
  <si>
    <t>Tributos (impostos COFINS 3%, e  PIS 0,65%)</t>
  </si>
  <si>
    <t>CP</t>
  </si>
  <si>
    <t>Tributos (ISS, variável de acordo com o município)</t>
  </si>
  <si>
    <t>Tributos (Contribuição Previdenciária sobre a Receita Bruta - Lei 12.546 de 14/12/2011 - Desoneração)</t>
  </si>
  <si>
    <t>CPRB</t>
  </si>
  <si>
    <t>BDI SEM desoneração (Fórmula Acórdão TCU)</t>
  </si>
  <si>
    <t>BDI PAD</t>
  </si>
  <si>
    <t>BDI COM desoneração</t>
  </si>
  <si>
    <t>BDI DES</t>
  </si>
  <si>
    <t>Os valores de BDI foram calculados com o emprego da fórmula:</t>
  </si>
  <si>
    <t>BDI =</t>
  </si>
  <si>
    <t>(1+AC + S + R + G)*(1 + DF)*(1+L)</t>
  </si>
  <si>
    <t xml:space="preserve"> - 1</t>
  </si>
  <si>
    <t>(1-CP-ISS-CRPB)</t>
  </si>
  <si>
    <t>Observações:</t>
  </si>
  <si>
    <t>Local</t>
  </si>
  <si>
    <t>Data</t>
  </si>
  <si>
    <t>Responsável Técnico</t>
  </si>
  <si>
    <t>Nome:</t>
  </si>
  <si>
    <t>CREA/CAU:</t>
  </si>
  <si>
    <t>ART/RRT:</t>
  </si>
  <si>
    <t>BDI 2</t>
  </si>
  <si>
    <t>(SELECIONAR)</t>
  </si>
  <si>
    <t>BDI 3</t>
  </si>
  <si>
    <t>PREFEITURA MUNICIPAL DE BOCAINA DE MINAS</t>
  </si>
  <si>
    <t>Etapa 03 - Continuação estrada de ligação entre Bocaina de Minas e Resende - Serra</t>
  </si>
  <si>
    <t>BOCAINA DE MINAS</t>
  </si>
  <si>
    <r>
      <rPr>
        <b/>
        <sz val="10"/>
        <rFont val="Arial"/>
        <family val="2"/>
      </rPr>
      <t>ART/RRT:</t>
    </r>
    <r>
      <rPr>
        <sz val="10"/>
        <rFont val="Arial"/>
        <family val="2"/>
      </rPr>
      <t xml:space="preserve"> MG20264986784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</si>
</sst>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
    <numFmt numFmtId="44" formatCode="_-&quot;R$&quot;\ * #,##0.00_-;\-&quot;R$&quot;\ * #,##0.00_-;_-&quot;R$&quot;\ * &quot;-&quot;??_-;_-@_-"/>
    <numFmt numFmtId="43" formatCode="_-* #,##0.00_-;\-* #,##0.00_-;_-* &quot;-&quot;??_-;_-@_-"/>
    <numFmt numFmtId="164" formatCode="_(* #,##0.00_);_(* \(#,##0.00\);_(* &quot;-&quot;??_);_(@_)"/>
    <numFmt numFmtId="165" formatCode="&quot;R$&quot;\ #,##0.00"/>
    <numFmt numFmtId="166" formatCode="&quot;R$ &quot;#,##0.00"/>
    <numFmt numFmtId="167" formatCode="0.000000"/>
    <numFmt numFmtId="168" formatCode="_([$€-2]* #,##0.00_);_([$€-2]* \(#,##0.00\);_([$€-2]* &quot;-&quot;??_)"/>
    <numFmt numFmtId="169" formatCode="#,#00"/>
    <numFmt numFmtId="170" formatCode="_(&quot;R$ &quot;* #,##0.00_);_(&quot;R$ &quot;* \(#,##0.00\);_(&quot;R$ &quot;* &quot;-&quot;??_);_(@_)"/>
    <numFmt numFmtId="171" formatCode="&quot;R$&quot;\ #,##0_);[Red]\(&quot;R$&quot;\ #,##0\)"/>
    <numFmt numFmtId="172" formatCode="&quot;R$&quot;\ #,##0.00_);\(&quot;R$&quot;\ #,##0.00\)"/>
    <numFmt numFmtId="173" formatCode="%#,#00"/>
    <numFmt numFmtId="174" formatCode="#.##000"/>
    <numFmt numFmtId="175" formatCode="#,"/>
    <numFmt numFmtId="176" formatCode="_(&quot;R$ &quot;* #,##0.00_);_(&quot;R$ &quot;* \(#,##0.00\);_(&quot;R$ &quot;* \-??_);_(@_)"/>
    <numFmt numFmtId="177" formatCode="General;General"/>
    <numFmt numFmtId="178" formatCode="[$-F800]dddd\,\ mmmm\ dd\,\ yyyy"/>
    <numFmt numFmtId="179" formatCode="dd&quot; de &quot;mmmm&quot; de &quot;yyyy"/>
  </numFmts>
  <fonts count="88">
    <font>
      <sz val="10"/>
      <name val="Arial"/>
    </font>
    <font>
      <sz val="11"/>
      <color theme="1"/>
      <name val="Calibri"/>
      <family val="2"/>
      <scheme val="minor"/>
    </font>
    <font>
      <sz val="8"/>
      <name val="Arial"/>
      <family val="2"/>
    </font>
    <font>
      <b/>
      <sz val="10"/>
      <name val="Arial"/>
      <family val="2"/>
    </font>
    <font>
      <b/>
      <sz val="8"/>
      <name val="Arial"/>
      <family val="2"/>
    </font>
    <font>
      <sz val="8"/>
      <color indexed="12"/>
      <name val="Arial"/>
      <family val="2"/>
    </font>
    <font>
      <sz val="10"/>
      <color indexed="8"/>
      <name val="Arial"/>
      <family val="2"/>
    </font>
    <font>
      <b/>
      <sz val="10"/>
      <name val="Calibri"/>
      <family val="2"/>
    </font>
    <font>
      <b/>
      <sz val="10"/>
      <color indexed="8"/>
      <name val="Calibri"/>
      <family val="2"/>
    </font>
    <font>
      <b/>
      <sz val="12"/>
      <name val="Arial"/>
      <family val="2"/>
    </font>
    <font>
      <sz val="9"/>
      <color indexed="8"/>
      <name val="Arial"/>
      <family val="2"/>
    </font>
    <font>
      <b/>
      <sz val="9"/>
      <color indexed="12"/>
      <name val="Arial"/>
      <family val="2"/>
    </font>
    <font>
      <sz val="9"/>
      <name val="Arial"/>
      <family val="2"/>
    </font>
    <font>
      <b/>
      <sz val="9"/>
      <color indexed="8"/>
      <name val="Arial"/>
      <family val="2"/>
    </font>
    <font>
      <b/>
      <sz val="9"/>
      <name val="Arial"/>
      <family val="2"/>
    </font>
    <font>
      <b/>
      <sz val="10"/>
      <color indexed="8"/>
      <name val="Arial"/>
      <family val="2"/>
    </font>
    <font>
      <b/>
      <sz val="8"/>
      <color indexed="8"/>
      <name val="Calibri"/>
      <family val="2"/>
    </font>
    <font>
      <sz val="8"/>
      <color indexed="8"/>
      <name val="Calibri"/>
      <family val="2"/>
    </font>
    <font>
      <sz val="10"/>
      <name val="Calibri"/>
      <family val="2"/>
    </font>
    <font>
      <b/>
      <sz val="10"/>
      <color indexed="10"/>
      <name val="Arial"/>
      <family val="2"/>
    </font>
    <font>
      <sz val="8"/>
      <color theme="1"/>
      <name val="Arial"/>
      <family val="2"/>
    </font>
    <font>
      <b/>
      <sz val="10"/>
      <color theme="1"/>
      <name val="Calibri"/>
      <family val="2"/>
      <scheme val="minor"/>
    </font>
    <font>
      <b/>
      <sz val="10"/>
      <name val="Calibri"/>
      <family val="2"/>
      <scheme val="minor"/>
    </font>
    <font>
      <b/>
      <sz val="12"/>
      <color indexed="8"/>
      <name val="Calibri"/>
      <family val="2"/>
      <scheme val="minor"/>
    </font>
    <font>
      <b/>
      <sz val="8"/>
      <color theme="1"/>
      <name val="Arial"/>
      <family val="2"/>
    </font>
    <font>
      <b/>
      <sz val="9"/>
      <color rgb="FF000000"/>
      <name val="Arial"/>
      <family val="2"/>
    </font>
    <font>
      <b/>
      <sz val="11"/>
      <color theme="1"/>
      <name val="Calibri"/>
      <family val="2"/>
      <scheme val="minor"/>
    </font>
    <font>
      <b/>
      <sz val="8"/>
      <color rgb="FF000000"/>
      <name val="Arial"/>
      <family val="2"/>
    </font>
    <font>
      <sz val="9"/>
      <color rgb="FF000000"/>
      <name val="Arial"/>
      <family val="2"/>
    </font>
    <font>
      <sz val="9"/>
      <color theme="1"/>
      <name val="Arial"/>
      <family val="2"/>
    </font>
    <font>
      <b/>
      <sz val="9"/>
      <color theme="1"/>
      <name val="Arial"/>
      <family val="2"/>
    </font>
    <font>
      <b/>
      <sz val="12"/>
      <color theme="1"/>
      <name val="Arial"/>
      <family val="2"/>
    </font>
    <font>
      <b/>
      <sz val="5"/>
      <color rgb="FF000000"/>
      <name val="Arial"/>
      <family val="2"/>
    </font>
    <font>
      <sz val="10"/>
      <color theme="1"/>
      <name val="Times New Roman"/>
      <family val="1"/>
    </font>
    <font>
      <sz val="8"/>
      <color theme="1"/>
      <name val="Calibri"/>
      <family val="2"/>
    </font>
    <font>
      <sz val="10"/>
      <color theme="1"/>
      <name val="Arial"/>
      <family val="2"/>
    </font>
    <font>
      <b/>
      <sz val="10"/>
      <color rgb="FFC00000"/>
      <name val="Arial"/>
      <family val="2"/>
    </font>
    <font>
      <sz val="11"/>
      <color theme="1"/>
      <name val="Calibri"/>
      <family val="2"/>
      <scheme val="minor"/>
    </font>
    <font>
      <b/>
      <sz val="11"/>
      <color theme="3"/>
      <name val="Calibri"/>
      <family val="2"/>
      <scheme val="minor"/>
    </font>
    <font>
      <b/>
      <sz val="13"/>
      <color theme="3"/>
      <name val="Calibri"/>
      <family val="2"/>
      <scheme val="minor"/>
    </font>
    <font>
      <b/>
      <sz val="15"/>
      <color theme="3"/>
      <name val="Calibri"/>
      <family val="2"/>
      <scheme val="minor"/>
    </font>
    <font>
      <b/>
      <sz val="18"/>
      <color theme="3"/>
      <name val="Cambria"/>
      <family val="2"/>
      <scheme val="major"/>
    </font>
    <font>
      <i/>
      <sz val="11"/>
      <color rgb="FF7F7F7F"/>
      <name val="Calibri"/>
      <family val="2"/>
      <scheme val="minor"/>
    </font>
    <font>
      <sz val="11"/>
      <color rgb="FFFF0000"/>
      <name val="Calibri"/>
      <family val="2"/>
      <scheme val="minor"/>
    </font>
    <font>
      <b/>
      <sz val="11"/>
      <color rgb="FF3F3F3F"/>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sz val="11"/>
      <color theme="0"/>
      <name val="Calibri"/>
      <family val="2"/>
      <scheme val="minor"/>
    </font>
    <font>
      <sz val="11"/>
      <color rgb="FFFA7D00"/>
      <name val="Calibri"/>
      <family val="2"/>
      <scheme val="minor"/>
    </font>
    <font>
      <b/>
      <sz val="11"/>
      <color theme="0"/>
      <name val="Calibri"/>
      <family val="2"/>
      <scheme val="minor"/>
    </font>
    <font>
      <b/>
      <sz val="11"/>
      <color rgb="FFFA7D00"/>
      <name val="Calibri"/>
      <family val="2"/>
      <scheme val="minor"/>
    </font>
    <font>
      <sz val="11"/>
      <color rgb="FF006100"/>
      <name val="Calibri"/>
      <family val="2"/>
      <scheme val="minor"/>
    </font>
    <font>
      <sz val="10"/>
      <name val="Arial"/>
      <family val="2"/>
    </font>
    <font>
      <sz val="8"/>
      <name val="Arial"/>
      <family val="2"/>
    </font>
    <font>
      <sz val="10"/>
      <name val="Arial"/>
    </font>
    <font>
      <sz val="11"/>
      <color indexed="9"/>
      <name val="Calibri"/>
      <family val="2"/>
    </font>
    <font>
      <b/>
      <sz val="11"/>
      <color indexed="9"/>
      <name val="Calibri"/>
      <family val="2"/>
    </font>
    <font>
      <sz val="1"/>
      <color indexed="8"/>
      <name val="Courier"/>
      <family val="3"/>
    </font>
    <font>
      <sz val="11"/>
      <color indexed="8"/>
      <name val="Calibri"/>
      <family val="2"/>
    </font>
    <font>
      <sz val="10"/>
      <color rgb="FF000000"/>
      <name val="Arial1"/>
    </font>
    <font>
      <sz val="11"/>
      <color indexed="17"/>
      <name val="Calibri"/>
      <family val="2"/>
    </font>
    <font>
      <b/>
      <sz val="12"/>
      <name val="Helv"/>
    </font>
    <font>
      <sz val="11"/>
      <color indexed="62"/>
      <name val="Calibri"/>
      <family val="2"/>
    </font>
    <font>
      <sz val="11"/>
      <color indexed="52"/>
      <name val="Calibri"/>
      <family val="2"/>
    </font>
    <font>
      <sz val="11"/>
      <name val="‚l‚r ‚oƒSƒVƒbƒN"/>
      <family val="3"/>
      <charset val="128"/>
    </font>
    <font>
      <b/>
      <sz val="11"/>
      <name val="Helv"/>
    </font>
    <font>
      <sz val="11"/>
      <color indexed="60"/>
      <name val="Calibri"/>
      <family val="2"/>
    </font>
    <font>
      <sz val="11"/>
      <name val="‚l‚r ‚o–¾’©"/>
      <family val="1"/>
      <charset val="128"/>
    </font>
    <font>
      <sz val="1"/>
      <color indexed="18"/>
      <name val="Courier"/>
      <family val="3"/>
    </font>
    <font>
      <sz val="10"/>
      <color indexed="8"/>
      <name val="Times New Roman"/>
      <family val="2"/>
    </font>
    <font>
      <b/>
      <sz val="9"/>
      <name val="Times New Roman"/>
      <family val="1"/>
    </font>
    <font>
      <b/>
      <sz val="15"/>
      <color indexed="62"/>
      <name val="Calibri"/>
      <family val="2"/>
    </font>
    <font>
      <b/>
      <sz val="1"/>
      <color indexed="8"/>
      <name val="Courier"/>
      <family val="3"/>
    </font>
    <font>
      <sz val="11"/>
      <color indexed="10"/>
      <name val="Calibri"/>
      <family val="2"/>
    </font>
    <font>
      <b/>
      <sz val="11"/>
      <color theme="1"/>
      <name val="Abadi"/>
      <family val="2"/>
    </font>
    <font>
      <sz val="8"/>
      <color theme="1"/>
      <name val="Abadi"/>
      <family val="2"/>
    </font>
    <font>
      <b/>
      <sz val="9"/>
      <color rgb="FFFF0000"/>
      <name val="Arial"/>
      <family val="2"/>
    </font>
    <font>
      <b/>
      <sz val="11"/>
      <name val="Arial"/>
      <family val="2"/>
    </font>
    <font>
      <sz val="11"/>
      <name val="Arial"/>
      <family val="2"/>
    </font>
    <font>
      <b/>
      <sz val="12"/>
      <color indexed="10"/>
      <name val="Arial"/>
      <family val="2"/>
    </font>
    <font>
      <sz val="10"/>
      <color indexed="10"/>
      <name val="Arial"/>
      <family val="2"/>
    </font>
    <font>
      <i/>
      <sz val="12"/>
      <name val="Calibri"/>
      <family val="2"/>
    </font>
    <font>
      <i/>
      <u/>
      <sz val="12"/>
      <name val="Calibri"/>
      <family val="2"/>
    </font>
    <font>
      <u/>
      <sz val="10"/>
      <name val="Arial"/>
      <family val="2"/>
    </font>
    <font>
      <sz val="10"/>
      <color rgb="FFFF0000"/>
      <name val="Arial"/>
      <family val="2"/>
    </font>
    <font>
      <b/>
      <sz val="12"/>
      <color rgb="FFFF0000"/>
      <name val="Arial"/>
      <family val="2"/>
    </font>
    <font>
      <b/>
      <sz val="11"/>
      <color rgb="FFFF0000"/>
      <name val="Arial"/>
      <family val="2"/>
    </font>
  </fonts>
  <fills count="49">
    <fill>
      <patternFill patternType="none"/>
    </fill>
    <fill>
      <patternFill patternType="gray125"/>
    </fill>
    <fill>
      <patternFill patternType="solid">
        <fgColor theme="4" tint="0.79995117038483843"/>
        <bgColor indexed="64"/>
      </patternFill>
    </fill>
    <fill>
      <patternFill patternType="solid">
        <fgColor theme="5" tint="0.79995117038483843"/>
        <bgColor indexed="64"/>
      </patternFill>
    </fill>
    <fill>
      <patternFill patternType="solid">
        <fgColor theme="6" tint="0.79995117038483843"/>
        <bgColor indexed="64"/>
      </patternFill>
    </fill>
    <fill>
      <patternFill patternType="solid">
        <fgColor theme="7" tint="0.79995117038483843"/>
        <bgColor indexed="64"/>
      </patternFill>
    </fill>
    <fill>
      <patternFill patternType="solid">
        <fgColor theme="8" tint="0.79995117038483843"/>
        <bgColor indexed="64"/>
      </patternFill>
    </fill>
    <fill>
      <patternFill patternType="solid">
        <fgColor theme="9" tint="0.79995117038483843"/>
        <bgColor indexed="64"/>
      </patternFill>
    </fill>
    <fill>
      <patternFill patternType="solid">
        <fgColor theme="4" tint="0.59996337778862885"/>
        <bgColor indexed="64"/>
      </patternFill>
    </fill>
    <fill>
      <patternFill patternType="solid">
        <fgColor theme="5" tint="0.59996337778862885"/>
        <bgColor indexed="64"/>
      </patternFill>
    </fill>
    <fill>
      <patternFill patternType="solid">
        <fgColor theme="6" tint="0.59996337778862885"/>
        <bgColor indexed="64"/>
      </patternFill>
    </fill>
    <fill>
      <patternFill patternType="solid">
        <fgColor theme="7" tint="0.59996337778862885"/>
        <bgColor indexed="64"/>
      </patternFill>
    </fill>
    <fill>
      <patternFill patternType="solid">
        <fgColor theme="8" tint="0.59996337778862885"/>
        <bgColor indexed="64"/>
      </patternFill>
    </fill>
    <fill>
      <patternFill patternType="solid">
        <fgColor theme="9" tint="0.599963377788628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C6EFCE"/>
        <bgColor indexed="64"/>
      </patternFill>
    </fill>
    <fill>
      <patternFill patternType="solid">
        <fgColor rgb="FFF2F2F2"/>
        <bgColor indexed="64"/>
      </patternFill>
    </fill>
    <fill>
      <patternFill patternType="solid">
        <fgColor rgb="FFA5A5A5"/>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FFCC99"/>
        <bgColor indexed="64"/>
      </patternFill>
    </fill>
    <fill>
      <patternFill patternType="solid">
        <fgColor rgb="FFFFEB9C"/>
        <bgColor indexed="64"/>
      </patternFill>
    </fill>
    <fill>
      <patternFill patternType="solid">
        <fgColor rgb="FFFFFFCC"/>
        <bgColor indexed="64"/>
      </patternFill>
    </fill>
    <fill>
      <patternFill patternType="solid">
        <fgColor rgb="FFFFC7CE"/>
        <bgColor indexed="64"/>
      </patternFill>
    </fill>
    <fill>
      <patternFill patternType="solid">
        <fgColor theme="0" tint="-0.14996795556505021"/>
        <bgColor indexed="64"/>
      </patternFill>
    </fill>
    <fill>
      <patternFill patternType="solid">
        <fgColor indexed="9"/>
        <bgColor indexed="64"/>
      </patternFill>
    </fill>
    <fill>
      <patternFill patternType="solid">
        <fgColor indexed="43"/>
        <bgColor indexed="64"/>
      </patternFill>
    </fill>
    <fill>
      <patternFill patternType="solid">
        <fgColor theme="0"/>
        <bgColor indexed="64"/>
      </patternFill>
    </fill>
    <fill>
      <patternFill patternType="solid">
        <fgColor rgb="FFB3B3B3"/>
        <bgColor indexed="64"/>
      </patternFill>
    </fill>
    <fill>
      <patternFill patternType="solid">
        <fgColor indexed="42"/>
        <bgColor indexed="64"/>
      </patternFill>
    </fill>
    <fill>
      <patternFill patternType="solid">
        <fgColor indexed="22"/>
        <bgColor indexed="64"/>
      </patternFill>
    </fill>
    <fill>
      <patternFill patternType="solid">
        <fgColor indexed="30"/>
      </patternFill>
    </fill>
    <fill>
      <patternFill patternType="solid">
        <fgColor indexed="62"/>
      </patternFill>
    </fill>
    <fill>
      <patternFill patternType="solid">
        <fgColor indexed="55"/>
        <bgColor indexed="23"/>
      </patternFill>
    </fill>
    <fill>
      <patternFill patternType="solid">
        <fgColor indexed="42"/>
        <bgColor indexed="41"/>
      </patternFill>
    </fill>
    <fill>
      <patternFill patternType="solid">
        <fgColor indexed="47"/>
        <bgColor indexed="22"/>
      </patternFill>
    </fill>
    <fill>
      <patternFill patternType="solid">
        <fgColor indexed="43"/>
        <bgColor indexed="26"/>
      </patternFill>
    </fill>
    <fill>
      <patternFill patternType="solid">
        <fgColor indexed="26"/>
        <bgColor indexed="9"/>
      </patternFill>
    </fill>
    <fill>
      <patternFill patternType="solid">
        <fgColor indexed="31"/>
        <bgColor indexed="42"/>
      </patternFill>
    </fill>
    <fill>
      <patternFill patternType="solid">
        <fgColor indexed="22"/>
        <bgColor indexed="44"/>
      </patternFill>
    </fill>
  </fills>
  <borders count="155">
    <border>
      <left/>
      <right/>
      <top/>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5422223578601"/>
      </bottom>
      <diagonal/>
    </border>
    <border>
      <left/>
      <right/>
      <top/>
      <bottom style="medium">
        <color theme="4" tint="0.39997558519241921"/>
      </bottom>
      <diagonal/>
    </border>
    <border>
      <left/>
      <right/>
      <top style="thin">
        <color theme="4"/>
      </top>
      <bottom style="double">
        <color theme="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right/>
      <top style="thin">
        <color auto="1"/>
      </top>
      <bottom/>
      <diagonal/>
    </border>
    <border>
      <left style="hair">
        <color auto="1"/>
      </left>
      <right style="hair">
        <color auto="1"/>
      </right>
      <top style="hair">
        <color auto="1"/>
      </top>
      <bottom style="hair">
        <color auto="1"/>
      </bottom>
      <diagonal/>
    </border>
    <border>
      <left style="thin">
        <color auto="1"/>
      </left>
      <right style="medium">
        <color auto="1"/>
      </right>
      <top style="medium">
        <color auto="1"/>
      </top>
      <bottom style="medium">
        <color auto="1"/>
      </bottom>
      <diagonal/>
    </border>
    <border>
      <left style="hair">
        <color auto="1"/>
      </left>
      <right style="medium">
        <color auto="1"/>
      </right>
      <top style="hair">
        <color auto="1"/>
      </top>
      <bottom style="hair">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right style="thin">
        <color auto="1"/>
      </right>
      <top style="thin">
        <color auto="1"/>
      </top>
      <bottom style="thin">
        <color auto="1"/>
      </bottom>
      <diagonal/>
    </border>
    <border>
      <left style="thin">
        <color auto="1"/>
      </left>
      <right style="thin">
        <color auto="1"/>
      </right>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thin">
        <color auto="1"/>
      </top>
      <bottom style="hair">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hair">
        <color auto="1"/>
      </left>
      <right/>
      <top style="hair">
        <color auto="1"/>
      </top>
      <bottom style="hair">
        <color auto="1"/>
      </bottom>
      <diagonal/>
    </border>
    <border>
      <left/>
      <right style="hair">
        <color auto="1"/>
      </right>
      <top style="hair">
        <color auto="1"/>
      </top>
      <bottom style="hair">
        <color auto="1"/>
      </bottom>
      <diagonal/>
    </border>
    <border>
      <left style="medium">
        <color auto="1"/>
      </left>
      <right style="hair">
        <color auto="1"/>
      </right>
      <top style="hair">
        <color auto="1"/>
      </top>
      <bottom style="hair">
        <color auto="1"/>
      </bottom>
      <diagonal/>
    </border>
    <border>
      <left style="medium">
        <color auto="1"/>
      </left>
      <right style="medium">
        <color auto="1"/>
      </right>
      <top style="medium">
        <color auto="1"/>
      </top>
      <bottom style="medium">
        <color auto="1"/>
      </bottom>
      <diagonal/>
    </border>
    <border>
      <left style="medium">
        <color auto="1"/>
      </left>
      <right/>
      <top/>
      <bottom/>
      <diagonal/>
    </border>
    <border>
      <left/>
      <right/>
      <top/>
      <bottom style="thin">
        <color auto="1"/>
      </bottom>
      <diagonal/>
    </border>
    <border>
      <left style="medium">
        <color auto="1"/>
      </left>
      <right/>
      <top/>
      <bottom style="medium">
        <color auto="1"/>
      </bottom>
      <diagonal/>
    </border>
    <border>
      <left/>
      <right/>
      <top/>
      <bottom style="medium">
        <color auto="1"/>
      </bottom>
      <diagonal/>
    </border>
    <border>
      <left style="thin">
        <color auto="1"/>
      </left>
      <right/>
      <top/>
      <bottom style="thin">
        <color auto="1"/>
      </bottom>
      <diagonal/>
    </border>
    <border>
      <left style="thin">
        <color auto="1"/>
      </left>
      <right style="thin">
        <color auto="1"/>
      </right>
      <top style="medium">
        <color auto="1"/>
      </top>
      <bottom style="thin">
        <color auto="1"/>
      </bottom>
      <diagonal/>
    </border>
    <border>
      <left style="thin">
        <color auto="1"/>
      </left>
      <right/>
      <top style="medium">
        <color auto="1"/>
      </top>
      <bottom style="medium">
        <color auto="1"/>
      </bottom>
      <diagonal/>
    </border>
    <border>
      <left/>
      <right style="thin">
        <color auto="1"/>
      </right>
      <top style="medium">
        <color auto="1"/>
      </top>
      <bottom style="medium">
        <color auto="1"/>
      </bottom>
      <diagonal/>
    </border>
    <border>
      <left/>
      <right style="thin">
        <color auto="1"/>
      </right>
      <top/>
      <bottom style="thin">
        <color auto="1"/>
      </bottom>
      <diagonal/>
    </border>
    <border>
      <left style="hair">
        <color auto="1"/>
      </left>
      <right style="hair">
        <color auto="1"/>
      </right>
      <top/>
      <bottom style="hair">
        <color auto="1"/>
      </bottom>
      <diagonal/>
    </border>
    <border>
      <left/>
      <right/>
      <top style="hair">
        <color auto="1"/>
      </top>
      <bottom style="hair">
        <color auto="1"/>
      </bottom>
      <diagonal/>
    </border>
    <border>
      <left/>
      <right/>
      <top/>
      <bottom style="hair">
        <color auto="1"/>
      </bottom>
      <diagonal/>
    </border>
    <border>
      <left/>
      <right style="thin">
        <color auto="1"/>
      </right>
      <top/>
      <bottom/>
      <diagonal/>
    </border>
    <border>
      <left style="medium">
        <color auto="1"/>
      </left>
      <right/>
      <top style="hair">
        <color auto="1"/>
      </top>
      <bottom style="hair">
        <color auto="1"/>
      </bottom>
      <diagonal/>
    </border>
    <border>
      <left style="hair">
        <color auto="1"/>
      </left>
      <right style="hair">
        <color auto="1"/>
      </right>
      <top/>
      <bottom/>
      <diagonal/>
    </border>
    <border>
      <left/>
      <right style="hair">
        <color auto="1"/>
      </right>
      <top style="hair">
        <color auto="1"/>
      </top>
      <bottom/>
      <diagonal/>
    </border>
    <border>
      <left style="hair">
        <color auto="1"/>
      </left>
      <right style="hair">
        <color auto="1"/>
      </right>
      <top style="hair">
        <color auto="1"/>
      </top>
      <bottom/>
      <diagonal/>
    </border>
    <border>
      <left/>
      <right style="hair">
        <color auto="1"/>
      </right>
      <top/>
      <bottom/>
      <diagonal/>
    </border>
    <border>
      <left style="hair">
        <color auto="1"/>
      </left>
      <right/>
      <top/>
      <bottom/>
      <diagonal/>
    </border>
    <border>
      <left style="hair">
        <color auto="1"/>
      </left>
      <right/>
      <top/>
      <bottom style="hair">
        <color auto="1"/>
      </bottom>
      <diagonal/>
    </border>
    <border>
      <left/>
      <right style="hair">
        <color auto="1"/>
      </right>
      <top/>
      <bottom style="hair">
        <color auto="1"/>
      </bottom>
      <diagonal/>
    </border>
    <border>
      <left style="hair">
        <color auto="1"/>
      </left>
      <right style="hair">
        <color auto="1"/>
      </right>
      <top style="hair">
        <color auto="1"/>
      </top>
      <bottom style="thin">
        <color auto="1"/>
      </bottom>
      <diagonal/>
    </border>
    <border>
      <left style="medium">
        <color auto="1"/>
      </left>
      <right style="hair">
        <color auto="1"/>
      </right>
      <top style="hair">
        <color auto="1"/>
      </top>
      <bottom/>
      <diagonal/>
    </border>
    <border>
      <left/>
      <right style="hair">
        <color auto="1"/>
      </right>
      <top style="hair">
        <color auto="1"/>
      </top>
      <bottom style="thin">
        <color auto="1"/>
      </bottom>
      <diagonal/>
    </border>
    <border>
      <left style="thin">
        <color auto="1"/>
      </left>
      <right style="hair">
        <color auto="1"/>
      </right>
      <top style="hair">
        <color auto="1"/>
      </top>
      <bottom style="hair">
        <color auto="1"/>
      </bottom>
      <diagonal/>
    </border>
    <border>
      <left style="thin">
        <color auto="1"/>
      </left>
      <right/>
      <top style="hair">
        <color auto="1"/>
      </top>
      <bottom style="hair">
        <color auto="1"/>
      </bottom>
      <diagonal/>
    </border>
    <border>
      <left style="thin">
        <color auto="1"/>
      </left>
      <right style="hair">
        <color auto="1"/>
      </right>
      <top style="hair">
        <color auto="1"/>
      </top>
      <bottom style="thin">
        <color auto="1"/>
      </bottom>
      <diagonal/>
    </border>
    <border>
      <left style="hair">
        <color auto="1"/>
      </left>
      <right style="hair">
        <color auto="1"/>
      </right>
      <top/>
      <bottom style="thin">
        <color auto="1"/>
      </bottom>
      <diagonal/>
    </border>
    <border>
      <left style="thin">
        <color auto="1"/>
      </left>
      <right/>
      <top/>
      <bottom/>
      <diagonal/>
    </border>
    <border>
      <left style="thin">
        <color auto="1"/>
      </left>
      <right style="hair">
        <color auto="1"/>
      </right>
      <top style="hair">
        <color auto="1"/>
      </top>
      <bottom/>
      <diagonal/>
    </border>
    <border>
      <left/>
      <right style="medium">
        <color auto="1"/>
      </right>
      <top style="hair">
        <color auto="1"/>
      </top>
      <bottom style="hair">
        <color auto="1"/>
      </bottom>
      <diagonal/>
    </border>
    <border>
      <left style="thin">
        <color auto="1"/>
      </left>
      <right style="thin">
        <color auto="1"/>
      </right>
      <top style="hair">
        <color auto="1"/>
      </top>
      <bottom style="thin">
        <color auto="1"/>
      </bottom>
      <diagonal/>
    </border>
    <border>
      <left/>
      <right style="medium">
        <color auto="1"/>
      </right>
      <top/>
      <bottom/>
      <diagonal/>
    </border>
    <border>
      <left style="thin">
        <color auto="1"/>
      </left>
      <right/>
      <top style="thin">
        <color auto="1"/>
      </top>
      <bottom style="medium">
        <color auto="1"/>
      </bottom>
      <diagonal/>
    </border>
    <border>
      <left/>
      <right style="thin">
        <color auto="1"/>
      </right>
      <top style="thin">
        <color auto="1"/>
      </top>
      <bottom style="medium">
        <color auto="1"/>
      </bottom>
      <diagonal/>
    </border>
    <border>
      <left/>
      <right style="medium">
        <color auto="1"/>
      </right>
      <top/>
      <bottom style="medium">
        <color auto="1"/>
      </bottom>
      <diagonal/>
    </border>
    <border>
      <left/>
      <right style="thin">
        <color auto="1"/>
      </right>
      <top style="hair">
        <color auto="1"/>
      </top>
      <bottom style="hair">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thin">
        <color auto="1"/>
      </left>
      <right style="medium">
        <color auto="1"/>
      </right>
      <top/>
      <bottom style="hair">
        <color auto="1"/>
      </bottom>
      <diagonal/>
    </border>
    <border>
      <left style="thin">
        <color auto="1"/>
      </left>
      <right style="medium">
        <color auto="1"/>
      </right>
      <top style="hair">
        <color auto="1"/>
      </top>
      <bottom style="hair">
        <color auto="1"/>
      </bottom>
      <diagonal/>
    </border>
    <border>
      <left style="thin">
        <color auto="1"/>
      </left>
      <right style="medium">
        <color auto="1"/>
      </right>
      <top style="hair">
        <color auto="1"/>
      </top>
      <bottom style="thin">
        <color auto="1"/>
      </bottom>
      <diagonal/>
    </border>
    <border>
      <left style="medium">
        <color auto="1"/>
      </left>
      <right/>
      <top/>
      <bottom style="thin">
        <color auto="1"/>
      </bottom>
      <diagonal/>
    </border>
    <border>
      <left/>
      <right style="medium">
        <color auto="1"/>
      </right>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hair">
        <color auto="1"/>
      </left>
      <right/>
      <top style="hair">
        <color auto="1"/>
      </top>
      <bottom style="thin">
        <color auto="1"/>
      </bottom>
      <diagonal/>
    </border>
    <border>
      <left/>
      <right style="thin">
        <color auto="1"/>
      </right>
      <top style="hair">
        <color auto="1"/>
      </top>
      <bottom style="thin">
        <color auto="1"/>
      </bottom>
      <diagonal/>
    </border>
    <border>
      <left style="hair">
        <color auto="1"/>
      </left>
      <right/>
      <top style="hair">
        <color auto="1"/>
      </top>
      <bottom/>
      <diagonal/>
    </border>
    <border>
      <left/>
      <right/>
      <top style="hair">
        <color auto="1"/>
      </top>
      <bottom/>
      <diagonal/>
    </border>
    <border>
      <left/>
      <right style="thin">
        <color auto="1"/>
      </right>
      <top style="hair">
        <color auto="1"/>
      </top>
      <bottom/>
      <diagonal/>
    </border>
    <border>
      <left/>
      <right/>
      <top style="hair">
        <color auto="1"/>
      </top>
      <bottom style="thin">
        <color auto="1"/>
      </bottom>
      <diagonal/>
    </border>
    <border>
      <left style="hair">
        <color auto="1"/>
      </left>
      <right/>
      <top style="thin">
        <color auto="1"/>
      </top>
      <bottom/>
      <diagonal/>
    </border>
    <border>
      <left/>
      <right style="hair">
        <color auto="1"/>
      </right>
      <top style="thin">
        <color auto="1"/>
      </top>
      <bottom style="thin">
        <color auto="1"/>
      </bottom>
      <diagonal/>
    </border>
    <border>
      <left style="hair">
        <color auto="1"/>
      </left>
      <right/>
      <top style="thin">
        <color auto="1"/>
      </top>
      <bottom style="hair">
        <color auto="1"/>
      </bottom>
      <diagonal/>
    </border>
    <border>
      <left/>
      <right/>
      <top style="thin">
        <color auto="1"/>
      </top>
      <bottom style="hair">
        <color auto="1"/>
      </bottom>
      <diagonal/>
    </border>
    <border>
      <left/>
      <right style="thin">
        <color auto="1"/>
      </right>
      <top style="thin">
        <color auto="1"/>
      </top>
      <bottom style="hair">
        <color auto="1"/>
      </bottom>
      <diagonal/>
    </border>
    <border>
      <left style="hair">
        <color auto="1"/>
      </left>
      <right/>
      <top/>
      <bottom style="thin">
        <color auto="1"/>
      </bottom>
      <diagonal/>
    </border>
    <border>
      <left style="hair">
        <color auto="1"/>
      </left>
      <right/>
      <top style="thin">
        <color auto="1"/>
      </top>
      <bottom style="thin">
        <color auto="1"/>
      </bottom>
      <diagonal/>
    </border>
    <border>
      <left style="thin">
        <color auto="1"/>
      </left>
      <right/>
      <top style="thin">
        <color auto="1"/>
      </top>
      <bottom style="hair">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style="medium">
        <color auto="1"/>
      </left>
      <right style="thin">
        <color auto="1"/>
      </right>
      <top style="thin">
        <color auto="1"/>
      </top>
      <bottom style="thin">
        <color auto="1"/>
      </bottom>
      <diagonal/>
    </border>
    <border>
      <left style="thin">
        <color auto="1"/>
      </left>
      <right/>
      <top/>
      <bottom style="medium">
        <color auto="1"/>
      </bottom>
      <diagonal/>
    </border>
    <border>
      <left/>
      <right style="thin">
        <color auto="1"/>
      </right>
      <top/>
      <bottom style="medium">
        <color auto="1"/>
      </bottom>
      <diagonal/>
    </border>
    <border>
      <left style="medium">
        <color auto="1"/>
      </left>
      <right style="thin">
        <color auto="1"/>
      </right>
      <top style="thin">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medium">
        <color auto="1"/>
      </bottom>
      <diagonal/>
    </border>
    <border>
      <left style="medium">
        <color auto="1"/>
      </left>
      <right/>
      <top style="medium">
        <color auto="1"/>
      </top>
      <bottom style="hair">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style="thin">
        <color auto="1"/>
      </left>
      <right style="medium">
        <color auto="1"/>
      </right>
      <top/>
      <bottom style="thin">
        <color auto="1"/>
      </bottom>
      <diagonal/>
    </border>
    <border>
      <left style="thin">
        <color auto="1"/>
      </left>
      <right style="medium">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style="medium">
        <color auto="1"/>
      </left>
      <right style="thin">
        <color auto="1"/>
      </right>
      <top/>
      <bottom style="hair">
        <color auto="1"/>
      </bottom>
      <diagonal/>
    </border>
    <border>
      <left style="double">
        <color indexed="63"/>
      </left>
      <right style="double">
        <color indexed="63"/>
      </right>
      <top style="double">
        <color indexed="63"/>
      </top>
      <bottom style="double">
        <color indexed="63"/>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right/>
      <top/>
      <bottom style="thick">
        <color indexed="49"/>
      </bottom>
      <diagonal/>
    </border>
    <border>
      <left style="medium">
        <color indexed="64"/>
      </left>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hair">
        <color indexed="64"/>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8"/>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bottom style="thin">
        <color indexed="8"/>
      </bottom>
      <diagonal/>
    </border>
    <border>
      <left/>
      <right/>
      <top style="thin">
        <color indexed="8"/>
      </top>
      <bottom/>
      <diagonal/>
    </border>
    <border>
      <left style="medium">
        <color auto="1"/>
      </left>
      <right style="hair">
        <color auto="1"/>
      </right>
      <top/>
      <bottom style="hair">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medium">
        <color auto="1"/>
      </bottom>
      <diagonal/>
    </border>
    <border>
      <left/>
      <right/>
      <top style="thin">
        <color auto="1"/>
      </top>
      <bottom style="medium">
        <color auto="1"/>
      </bottom>
      <diagonal/>
    </border>
    <border>
      <left/>
      <right style="medium">
        <color indexed="64"/>
      </right>
      <top style="thin">
        <color auto="1"/>
      </top>
      <bottom style="medium">
        <color auto="1"/>
      </bottom>
      <diagonal/>
    </border>
    <border>
      <left style="medium">
        <color indexed="64"/>
      </left>
      <right style="hair">
        <color auto="1"/>
      </right>
      <top style="hair">
        <color auto="1"/>
      </top>
      <bottom style="medium">
        <color indexed="64"/>
      </bottom>
      <diagonal/>
    </border>
    <border>
      <left style="hair">
        <color auto="1"/>
      </left>
      <right style="hair">
        <color auto="1"/>
      </right>
      <top style="hair">
        <color auto="1"/>
      </top>
      <bottom style="medium">
        <color indexed="64"/>
      </bottom>
      <diagonal/>
    </border>
    <border>
      <left style="hair">
        <color auto="1"/>
      </left>
      <right/>
      <top style="hair">
        <color auto="1"/>
      </top>
      <bottom style="medium">
        <color indexed="64"/>
      </bottom>
      <diagonal/>
    </border>
    <border>
      <left/>
      <right style="hair">
        <color auto="1"/>
      </right>
      <top style="hair">
        <color auto="1"/>
      </top>
      <bottom style="medium">
        <color indexed="64"/>
      </bottom>
      <diagonal/>
    </border>
    <border>
      <left style="hair">
        <color auto="1"/>
      </left>
      <right style="medium">
        <color indexed="64"/>
      </right>
      <top style="hair">
        <color auto="1"/>
      </top>
      <bottom style="medium">
        <color indexed="64"/>
      </bottom>
      <diagonal/>
    </border>
  </borders>
  <cellStyleXfs count="137">
    <xf numFmtId="0" fontId="0" fillId="0" borderId="0"/>
    <xf numFmtId="0" fontId="37" fillId="2" borderId="0" applyNumberFormat="0" applyBorder="0" applyAlignment="0" applyProtection="0"/>
    <xf numFmtId="0" fontId="37" fillId="3" borderId="0" applyNumberFormat="0" applyBorder="0" applyAlignment="0" applyProtection="0"/>
    <xf numFmtId="0" fontId="37" fillId="4" borderId="0" applyNumberFormat="0" applyBorder="0" applyAlignment="0" applyProtection="0"/>
    <xf numFmtId="0" fontId="37" fillId="5" borderId="0" applyNumberFormat="0" applyBorder="0" applyAlignment="0" applyProtection="0"/>
    <xf numFmtId="0" fontId="37" fillId="6" borderId="0" applyNumberFormat="0" applyBorder="0" applyAlignment="0" applyProtection="0"/>
    <xf numFmtId="0" fontId="37" fillId="7" borderId="0" applyNumberFormat="0" applyBorder="0" applyAlignment="0" applyProtection="0"/>
    <xf numFmtId="0" fontId="37" fillId="8" borderId="0" applyNumberFormat="0" applyBorder="0" applyAlignment="0" applyProtection="0"/>
    <xf numFmtId="0" fontId="37" fillId="9" borderId="0" applyNumberFormat="0" applyBorder="0" applyAlignment="0" applyProtection="0"/>
    <xf numFmtId="0" fontId="37" fillId="10" borderId="0" applyNumberFormat="0" applyBorder="0" applyAlignment="0" applyProtection="0"/>
    <xf numFmtId="0" fontId="37" fillId="11" borderId="0" applyNumberFormat="0" applyBorder="0" applyAlignment="0" applyProtection="0"/>
    <xf numFmtId="0" fontId="37" fillId="12" borderId="0" applyNumberFormat="0" applyBorder="0" applyAlignment="0" applyProtection="0"/>
    <xf numFmtId="0" fontId="37" fillId="13" borderId="0" applyNumberFormat="0" applyBorder="0" applyAlignment="0" applyProtection="0"/>
    <xf numFmtId="0" fontId="48" fillId="14" borderId="0" applyNumberFormat="0" applyBorder="0" applyAlignment="0" applyProtection="0"/>
    <xf numFmtId="0" fontId="48" fillId="15" borderId="0" applyNumberFormat="0" applyBorder="0" applyAlignment="0" applyProtection="0"/>
    <xf numFmtId="0" fontId="48" fillId="16" borderId="0" applyNumberFormat="0" applyBorder="0" applyAlignment="0" applyProtection="0"/>
    <xf numFmtId="0" fontId="48" fillId="17" borderId="0" applyNumberFormat="0" applyBorder="0" applyAlignment="0" applyProtection="0"/>
    <xf numFmtId="0" fontId="48" fillId="18" borderId="0" applyNumberFormat="0" applyBorder="0" applyAlignment="0" applyProtection="0"/>
    <xf numFmtId="0" fontId="48" fillId="19" borderId="0" applyNumberFormat="0" applyBorder="0" applyAlignment="0" applyProtection="0"/>
    <xf numFmtId="0" fontId="52" fillId="20" borderId="0" applyNumberFormat="0" applyBorder="0" applyAlignment="0" applyProtection="0"/>
    <xf numFmtId="0" fontId="51" fillId="21" borderId="1" applyNumberFormat="0" applyAlignment="0" applyProtection="0"/>
    <xf numFmtId="0" fontId="50" fillId="22" borderId="2" applyNumberFormat="0" applyAlignment="0" applyProtection="0"/>
    <xf numFmtId="0" fontId="49" fillId="0" borderId="3" applyNumberFormat="0" applyFill="0" applyAlignment="0" applyProtection="0"/>
    <xf numFmtId="0" fontId="48" fillId="23" borderId="0" applyNumberFormat="0" applyBorder="0" applyAlignment="0" applyProtection="0"/>
    <xf numFmtId="0" fontId="48" fillId="24" borderId="0" applyNumberFormat="0" applyBorder="0" applyAlignment="0" applyProtection="0"/>
    <xf numFmtId="0" fontId="48" fillId="25" borderId="0" applyNumberFormat="0" applyBorder="0" applyAlignment="0" applyProtection="0"/>
    <xf numFmtId="0" fontId="48" fillId="26" borderId="0" applyNumberFormat="0" applyBorder="0" applyAlignment="0" applyProtection="0"/>
    <xf numFmtId="0" fontId="48" fillId="27" borderId="0" applyNumberFormat="0" applyBorder="0" applyAlignment="0" applyProtection="0"/>
    <xf numFmtId="0" fontId="48" fillId="28" borderId="0" applyNumberFormat="0" applyBorder="0" applyAlignment="0" applyProtection="0"/>
    <xf numFmtId="0" fontId="47" fillId="29" borderId="1" applyNumberFormat="0" applyAlignment="0" applyProtection="0"/>
    <xf numFmtId="0" fontId="46" fillId="30" borderId="0" applyNumberFormat="0" applyBorder="0" applyAlignment="0" applyProtection="0"/>
    <xf numFmtId="0" fontId="53" fillId="0" borderId="0"/>
    <xf numFmtId="0" fontId="37" fillId="0" borderId="0"/>
    <xf numFmtId="0" fontId="53" fillId="0" borderId="0"/>
    <xf numFmtId="0" fontId="53" fillId="31" borderId="4" applyNumberFormat="0" applyFont="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0" fontId="45" fillId="32" borderId="0" applyNumberFormat="0" applyBorder="0" applyAlignment="0" applyProtection="0"/>
    <xf numFmtId="0" fontId="44" fillId="21" borderId="5" applyNumberFormat="0" applyAlignment="0" applyProtection="0"/>
    <xf numFmtId="0" fontId="43" fillId="0" borderId="0" applyNumberFormat="0" applyFill="0" applyBorder="0" applyAlignment="0" applyProtection="0"/>
    <xf numFmtId="0" fontId="42" fillId="0" borderId="0" applyNumberFormat="0" applyFill="0" applyBorder="0" applyAlignment="0" applyProtection="0"/>
    <xf numFmtId="0" fontId="41" fillId="0" borderId="0" applyNumberFormat="0" applyFill="0" applyBorder="0" applyAlignment="0" applyProtection="0"/>
    <xf numFmtId="0" fontId="40" fillId="0" borderId="6" applyNumberFormat="0" applyFill="0" applyAlignment="0" applyProtection="0"/>
    <xf numFmtId="0" fontId="39" fillId="0" borderId="7" applyNumberFormat="0" applyFill="0" applyAlignment="0" applyProtection="0"/>
    <xf numFmtId="0" fontId="38" fillId="0" borderId="8" applyNumberFormat="0" applyFill="0" applyAlignment="0" applyProtection="0"/>
    <xf numFmtId="0" fontId="38" fillId="0" borderId="0" applyNumberFormat="0" applyFill="0" applyBorder="0" applyAlignment="0" applyProtection="0"/>
    <xf numFmtId="0" fontId="26" fillId="0" borderId="9" applyNumberFormat="0" applyFill="0" applyAlignment="0" applyProtection="0"/>
    <xf numFmtId="164" fontId="53" fillId="0" borderId="0" applyFont="0" applyFill="0" applyBorder="0" applyAlignment="0" applyProtection="0"/>
    <xf numFmtId="43" fontId="53" fillId="0" borderId="0" applyFont="0" applyFill="0" applyBorder="0" applyAlignment="0" applyProtection="0"/>
    <xf numFmtId="43" fontId="37" fillId="0" borderId="0" applyFill="0" applyBorder="0" applyAlignment="0" applyProtection="0"/>
    <xf numFmtId="43" fontId="37" fillId="0" borderId="0" applyFill="0" applyBorder="0" applyAlignment="0" applyProtection="0"/>
    <xf numFmtId="43" fontId="37" fillId="0" borderId="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170" fontId="53" fillId="0" borderId="0" applyFont="0" applyFill="0" applyBorder="0" applyAlignment="0" applyProtection="0"/>
    <xf numFmtId="0" fontId="56" fillId="40" borderId="0" applyNumberFormat="0" applyBorder="0" applyAlignment="0" applyProtection="0"/>
    <xf numFmtId="0" fontId="56" fillId="41" borderId="0" applyNumberFormat="0" applyBorder="0" applyAlignment="0" applyProtection="0"/>
    <xf numFmtId="0" fontId="57" fillId="42" borderId="116" applyNumberFormat="0" applyAlignment="0" applyProtection="0"/>
    <xf numFmtId="0" fontId="58" fillId="0" borderId="0">
      <protection locked="0"/>
    </xf>
    <xf numFmtId="168" fontId="53" fillId="0" borderId="0" applyFont="0" applyFill="0" applyBorder="0" applyAlignment="0" applyProtection="0"/>
    <xf numFmtId="0" fontId="59" fillId="0" borderId="0"/>
    <xf numFmtId="0" fontId="59" fillId="0" borderId="0"/>
    <xf numFmtId="43" fontId="60" fillId="0" borderId="0" applyBorder="0" applyProtection="0"/>
    <xf numFmtId="169" fontId="58" fillId="0" borderId="0">
      <protection locked="0"/>
    </xf>
    <xf numFmtId="0" fontId="61" fillId="43" borderId="0" applyNumberFormat="0" applyBorder="0" applyAlignment="0" applyProtection="0"/>
    <xf numFmtId="0" fontId="62" fillId="0" borderId="0">
      <alignment horizontal="left"/>
    </xf>
    <xf numFmtId="0" fontId="63" fillId="44" borderId="117" applyNumberFormat="0" applyAlignment="0" applyProtection="0"/>
    <xf numFmtId="0" fontId="64" fillId="0" borderId="118" applyNumberFormat="0" applyFill="0" applyAlignment="0" applyProtection="0"/>
    <xf numFmtId="38" fontId="65" fillId="0" borderId="0" applyFont="0" applyFill="0" applyBorder="0" applyAlignment="0" applyProtection="0"/>
    <xf numFmtId="40" fontId="65" fillId="0" borderId="0" applyFont="0" applyFill="0" applyBorder="0" applyAlignment="0" applyProtection="0"/>
    <xf numFmtId="0" fontId="66" fillId="0" borderId="34"/>
    <xf numFmtId="170" fontId="53" fillId="0" borderId="0" applyFont="0" applyFill="0" applyBorder="0" applyAlignment="0" applyProtection="0"/>
    <xf numFmtId="170" fontId="53" fillId="0" borderId="0" applyFont="0" applyFill="0" applyBorder="0" applyAlignment="0" applyProtection="0"/>
    <xf numFmtId="171" fontId="53" fillId="0" borderId="0" applyFont="0" applyFill="0" applyBorder="0" applyAlignment="0" applyProtection="0"/>
    <xf numFmtId="172" fontId="53" fillId="0" borderId="0" applyFont="0" applyFill="0" applyBorder="0" applyAlignment="0" applyProtection="0"/>
    <xf numFmtId="0" fontId="67" fillId="45" borderId="0" applyNumberFormat="0" applyBorder="0" applyAlignment="0" applyProtection="0"/>
    <xf numFmtId="0" fontId="53" fillId="0" borderId="0"/>
    <xf numFmtId="0" fontId="53" fillId="0" borderId="0"/>
    <xf numFmtId="0" fontId="1" fillId="0" borderId="0"/>
    <xf numFmtId="0" fontId="53" fillId="46" borderId="119" applyNumberFormat="0" applyAlignment="0" applyProtection="0"/>
    <xf numFmtId="40" fontId="68" fillId="0" borderId="0" applyFont="0" applyFill="0" applyBorder="0" applyAlignment="0" applyProtection="0"/>
    <xf numFmtId="38" fontId="68" fillId="0" borderId="0" applyFont="0" applyFill="0" applyBorder="0" applyAlignment="0" applyProtection="0"/>
    <xf numFmtId="173" fontId="58" fillId="0" borderId="0">
      <protection locked="0"/>
    </xf>
    <xf numFmtId="174" fontId="58" fillId="0" borderId="0">
      <protection locked="0"/>
    </xf>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9" fontId="53" fillId="0" borderId="0" applyFont="0" applyFill="0" applyBorder="0" applyAlignment="0" applyProtection="0"/>
    <xf numFmtId="175" fontId="69" fillId="0" borderId="0">
      <protection locked="0"/>
    </xf>
    <xf numFmtId="43" fontId="53" fillId="0" borderId="0" applyFont="0" applyFill="0" applyBorder="0" applyAlignment="0" applyProtection="0"/>
    <xf numFmtId="43" fontId="70"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0" fontId="66" fillId="0" borderId="0"/>
    <xf numFmtId="0" fontId="71" fillId="39" borderId="25">
      <alignment wrapText="1"/>
    </xf>
    <xf numFmtId="0" fontId="71" fillId="39" borderId="25">
      <alignment wrapText="1"/>
    </xf>
    <xf numFmtId="0" fontId="72" fillId="0" borderId="120" applyNumberFormat="0" applyFill="0" applyAlignment="0" applyProtection="0"/>
    <xf numFmtId="175" fontId="73" fillId="0" borderId="0">
      <protection locked="0"/>
    </xf>
    <xf numFmtId="175" fontId="73" fillId="0" borderId="0">
      <protection locked="0"/>
    </xf>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0" fontId="74" fillId="0" borderId="0" applyNumberFormat="0" applyFill="0" applyBorder="0" applyAlignment="0" applyProtection="0"/>
    <xf numFmtId="0" fontId="1" fillId="0" borderId="0"/>
    <xf numFmtId="0" fontId="1" fillId="0" borderId="0"/>
    <xf numFmtId="43" fontId="53" fillId="0" borderId="0" applyFont="0" applyFill="0" applyBorder="0" applyAlignment="0" applyProtection="0"/>
    <xf numFmtId="0" fontId="53" fillId="0" borderId="0"/>
    <xf numFmtId="0" fontId="55" fillId="0" borderId="0"/>
    <xf numFmtId="9" fontId="55" fillId="0" borderId="0" applyFont="0" applyFill="0" applyBorder="0" applyAlignment="0" applyProtection="0"/>
    <xf numFmtId="9" fontId="53" fillId="0" borderId="0" applyFont="0" applyFill="0" applyBorder="0" applyAlignment="0" applyProtection="0"/>
    <xf numFmtId="43" fontId="53" fillId="0" borderId="0" applyFont="0" applyFill="0" applyBorder="0" applyAlignment="0" applyProtection="0"/>
    <xf numFmtId="43" fontId="1" fillId="0" borderId="0" applyFont="0" applyFill="0" applyBorder="0" applyAlignment="0" applyProtection="0"/>
    <xf numFmtId="0" fontId="53" fillId="0" borderId="0"/>
    <xf numFmtId="43" fontId="1" fillId="0" borderId="0" applyFont="0" applyFill="0" applyBorder="0" applyAlignment="0" applyProtection="0"/>
    <xf numFmtId="0" fontId="1" fillId="0" borderId="0"/>
    <xf numFmtId="43" fontId="1" fillId="0" borderId="0" applyFont="0" applyFill="0" applyBorder="0" applyAlignment="0" applyProtection="0"/>
    <xf numFmtId="43" fontId="53" fillId="0" borderId="0" applyFont="0" applyFill="0" applyBorder="0" applyAlignment="0" applyProtection="0"/>
    <xf numFmtId="43" fontId="53" fillId="0" borderId="0" applyFont="0" applyFill="0" applyBorder="0" applyAlignment="0" applyProtection="0"/>
    <xf numFmtId="43" fontId="55" fillId="0" borderId="0" applyFont="0" applyFill="0" applyBorder="0" applyAlignment="0" applyProtection="0"/>
    <xf numFmtId="0" fontId="53" fillId="0" borderId="0"/>
    <xf numFmtId="0" fontId="1" fillId="0" borderId="0"/>
    <xf numFmtId="43" fontId="1" fillId="0" borderId="0" applyFont="0" applyFill="0" applyBorder="0" applyAlignment="0" applyProtection="0"/>
    <xf numFmtId="43" fontId="55" fillId="0" borderId="0" applyFont="0" applyFill="0" applyBorder="0" applyAlignment="0" applyProtection="0"/>
    <xf numFmtId="0" fontId="1" fillId="0" borderId="0"/>
    <xf numFmtId="43" fontId="1" fillId="0" borderId="0" applyFont="0" applyFill="0" applyBorder="0" applyAlignment="0" applyProtection="0"/>
    <xf numFmtId="0" fontId="55" fillId="0" borderId="0"/>
    <xf numFmtId="43" fontId="1" fillId="0" borderId="0" applyFont="0" applyFill="0" applyBorder="0" applyAlignment="0" applyProtection="0"/>
    <xf numFmtId="43" fontId="55" fillId="0" borderId="0" applyFont="0" applyFill="0" applyBorder="0" applyAlignment="0" applyProtection="0"/>
    <xf numFmtId="0" fontId="53" fillId="0" borderId="0"/>
    <xf numFmtId="0" fontId="71" fillId="39" borderId="129">
      <alignment wrapText="1"/>
    </xf>
    <xf numFmtId="0" fontId="71" fillId="39" borderId="129">
      <alignment wrapText="1"/>
    </xf>
    <xf numFmtId="0" fontId="12" fillId="0" borderId="0"/>
    <xf numFmtId="176" fontId="53" fillId="0" borderId="0" applyFill="0" applyBorder="0" applyAlignment="0" applyProtection="0"/>
  </cellStyleXfs>
  <cellXfs count="680">
    <xf numFmtId="0" fontId="0" fillId="0" borderId="0" xfId="0"/>
    <xf numFmtId="0" fontId="24" fillId="33" borderId="44" xfId="0" applyFont="1" applyFill="1" applyBorder="1" applyAlignment="1">
      <alignment horizontal="center" vertical="center" wrapText="1"/>
    </xf>
    <xf numFmtId="0" fontId="0" fillId="0" borderId="0" xfId="0" applyAlignment="1">
      <alignment vertical="center"/>
    </xf>
    <xf numFmtId="0" fontId="2" fillId="0" borderId="0" xfId="0" applyFont="1" applyAlignment="1">
      <alignment vertical="center"/>
    </xf>
    <xf numFmtId="0" fontId="0" fillId="0" borderId="0" xfId="0" applyAlignment="1">
      <alignment horizontal="center" vertical="center"/>
    </xf>
    <xf numFmtId="0" fontId="3" fillId="33" borderId="10" xfId="0" applyFont="1" applyFill="1" applyBorder="1" applyAlignment="1">
      <alignment horizontal="center" vertical="center"/>
    </xf>
    <xf numFmtId="0" fontId="3" fillId="33" borderId="11" xfId="0" applyFont="1" applyFill="1" applyBorder="1" applyAlignment="1">
      <alignment horizontal="center" vertical="center"/>
    </xf>
    <xf numFmtId="0" fontId="2" fillId="0" borderId="12" xfId="0" applyFont="1" applyBorder="1" applyAlignment="1">
      <alignment horizontal="center" vertical="center"/>
    </xf>
    <xf numFmtId="0" fontId="35" fillId="0" borderId="0" xfId="0" applyFont="1"/>
    <xf numFmtId="49" fontId="20" fillId="0" borderId="13" xfId="0" applyNumberFormat="1" applyFont="1" applyBorder="1" applyAlignment="1">
      <alignment horizontal="center" vertical="center" wrapText="1"/>
    </xf>
    <xf numFmtId="2" fontId="20" fillId="0" borderId="13" xfId="48" applyNumberFormat="1" applyFont="1" applyFill="1" applyBorder="1" applyAlignment="1">
      <alignment horizontal="center" vertical="center" wrapText="1"/>
    </xf>
    <xf numFmtId="4" fontId="20" fillId="0" borderId="13" xfId="0" applyNumberFormat="1" applyFont="1" applyBorder="1" applyAlignment="1">
      <alignment horizontal="center" vertical="center" wrapText="1"/>
    </xf>
    <xf numFmtId="0" fontId="2" fillId="0" borderId="12" xfId="0" applyFont="1" applyBorder="1" applyAlignment="1">
      <alignment vertical="center"/>
    </xf>
    <xf numFmtId="165" fontId="3" fillId="33" borderId="11" xfId="0" applyNumberFormat="1" applyFont="1" applyFill="1" applyBorder="1" applyAlignment="1">
      <alignment horizontal="center" vertical="center" wrapText="1"/>
    </xf>
    <xf numFmtId="165" fontId="20" fillId="0" borderId="13" xfId="0" applyNumberFormat="1" applyFont="1" applyBorder="1" applyAlignment="1">
      <alignment horizontal="center" vertical="center" wrapText="1"/>
    </xf>
    <xf numFmtId="165" fontId="0" fillId="0" borderId="0" xfId="0" applyNumberFormat="1" applyAlignment="1">
      <alignment vertical="center"/>
    </xf>
    <xf numFmtId="165" fontId="0" fillId="0" borderId="0" xfId="0" applyNumberFormat="1" applyAlignment="1">
      <alignment horizontal="center" vertical="center"/>
    </xf>
    <xf numFmtId="165" fontId="2" fillId="0" borderId="0" xfId="0" applyNumberFormat="1" applyFont="1" applyAlignment="1">
      <alignment horizontal="center" vertical="center"/>
    </xf>
    <xf numFmtId="165" fontId="0" fillId="0" borderId="0" xfId="0" applyNumberFormat="1"/>
    <xf numFmtId="165" fontId="3" fillId="33" borderId="14" xfId="0" applyNumberFormat="1" applyFont="1" applyFill="1" applyBorder="1" applyAlignment="1">
      <alignment horizontal="center" vertical="center" wrapText="1"/>
    </xf>
    <xf numFmtId="165" fontId="20" fillId="0" borderId="15" xfId="0" applyNumberFormat="1" applyFont="1" applyBorder="1" applyAlignment="1">
      <alignment horizontal="center" vertical="center" wrapText="1"/>
    </xf>
    <xf numFmtId="165" fontId="2" fillId="0" borderId="0" xfId="0" applyNumberFormat="1" applyFont="1" applyAlignment="1">
      <alignment vertical="center"/>
    </xf>
    <xf numFmtId="0" fontId="6" fillId="0" borderId="0" xfId="0" applyFont="1" applyAlignment="1">
      <alignment horizontal="justify" vertical="distributed"/>
    </xf>
    <xf numFmtId="0" fontId="36" fillId="0" borderId="0" xfId="0" applyFont="1" applyAlignment="1">
      <alignment vertical="center"/>
    </xf>
    <xf numFmtId="0" fontId="22" fillId="0" borderId="16" xfId="0" applyFont="1" applyBorder="1" applyAlignment="1">
      <alignment vertical="distributed"/>
    </xf>
    <xf numFmtId="165" fontId="22" fillId="0" borderId="16" xfId="0" applyNumberFormat="1" applyFont="1" applyBorder="1" applyAlignment="1">
      <alignment horizontal="center" vertical="distributed"/>
    </xf>
    <xf numFmtId="165" fontId="22" fillId="0" borderId="17" xfId="0" applyNumberFormat="1" applyFont="1" applyBorder="1" applyAlignment="1">
      <alignment horizontal="center" vertical="distributed"/>
    </xf>
    <xf numFmtId="165" fontId="22" fillId="0" borderId="18" xfId="0" applyNumberFormat="1" applyFont="1" applyBorder="1" applyAlignment="1">
      <alignment horizontal="center" vertical="distributed"/>
    </xf>
    <xf numFmtId="10" fontId="21" fillId="0" borderId="19" xfId="35" applyNumberFormat="1" applyFont="1" applyFill="1" applyBorder="1" applyAlignment="1">
      <alignment horizontal="center" vertical="distributed"/>
    </xf>
    <xf numFmtId="0" fontId="3" fillId="0" borderId="0" xfId="0" applyFont="1" applyAlignment="1">
      <alignment horizontal="center" vertical="center"/>
    </xf>
    <xf numFmtId="165" fontId="3" fillId="0" borderId="0" xfId="0" applyNumberFormat="1" applyFont="1" applyAlignment="1">
      <alignment horizontal="center" vertical="center"/>
    </xf>
    <xf numFmtId="10" fontId="21" fillId="0" borderId="20" xfId="0" applyNumberFormat="1" applyFont="1" applyBorder="1" applyAlignment="1">
      <alignment horizontal="left" vertical="distributed"/>
    </xf>
    <xf numFmtId="0" fontId="0" fillId="34" borderId="0" xfId="0" applyFill="1" applyAlignment="1">
      <alignment wrapText="1"/>
    </xf>
    <xf numFmtId="0" fontId="0" fillId="34" borderId="0" xfId="0" applyFill="1"/>
    <xf numFmtId="49" fontId="10" fillId="34" borderId="21" xfId="0" applyNumberFormat="1" applyFont="1" applyFill="1" applyBorder="1" applyAlignment="1">
      <alignment horizontal="center" vertical="top" wrapText="1"/>
    </xf>
    <xf numFmtId="10" fontId="11" fillId="34" borderId="21" xfId="0" applyNumberFormat="1" applyFont="1" applyFill="1" applyBorder="1" applyAlignment="1">
      <alignment vertical="top" wrapText="1"/>
    </xf>
    <xf numFmtId="10" fontId="10" fillId="34" borderId="21" xfId="0" applyNumberFormat="1" applyFont="1" applyFill="1" applyBorder="1" applyAlignment="1">
      <alignment vertical="top" wrapText="1"/>
    </xf>
    <xf numFmtId="49" fontId="10" fillId="34" borderId="22" xfId="0" applyNumberFormat="1" applyFont="1" applyFill="1" applyBorder="1" applyAlignment="1">
      <alignment horizontal="center" vertical="top" wrapText="1"/>
    </xf>
    <xf numFmtId="4" fontId="10" fillId="34" borderId="22" xfId="0" applyNumberFormat="1" applyFont="1" applyFill="1" applyBorder="1" applyAlignment="1">
      <alignment vertical="top" wrapText="1"/>
    </xf>
    <xf numFmtId="49" fontId="13" fillId="34" borderId="23" xfId="0" applyNumberFormat="1" applyFont="1" applyFill="1" applyBorder="1" applyAlignment="1">
      <alignment horizontal="center" vertical="top" wrapText="1"/>
    </xf>
    <xf numFmtId="165" fontId="35" fillId="0" borderId="0" xfId="0" applyNumberFormat="1" applyFont="1"/>
    <xf numFmtId="165" fontId="20" fillId="0" borderId="0" xfId="0" applyNumberFormat="1" applyFont="1" applyAlignment="1">
      <alignment horizontal="center" vertical="center" wrapText="1"/>
    </xf>
    <xf numFmtId="4" fontId="0" fillId="0" borderId="0" xfId="0" applyNumberFormat="1"/>
    <xf numFmtId="0" fontId="21" fillId="33" borderId="13" xfId="0" applyFont="1" applyFill="1" applyBorder="1" applyAlignment="1" applyProtection="1">
      <alignment vertical="center" wrapText="1"/>
      <protection locked="0"/>
    </xf>
    <xf numFmtId="0" fontId="21" fillId="33" borderId="13" xfId="0" applyFont="1" applyFill="1" applyBorder="1" applyAlignment="1" applyProtection="1">
      <alignment horizontal="center" vertical="center" wrapText="1"/>
      <protection locked="0"/>
    </xf>
    <xf numFmtId="0" fontId="15" fillId="0" borderId="24" xfId="0" applyFont="1" applyBorder="1" applyAlignment="1">
      <alignment vertical="center"/>
    </xf>
    <xf numFmtId="0" fontId="15" fillId="0" borderId="16" xfId="0" applyFont="1" applyBorder="1" applyAlignment="1">
      <alignment vertical="center"/>
    </xf>
    <xf numFmtId="0" fontId="13" fillId="0" borderId="16" xfId="0" applyFont="1" applyBorder="1" applyAlignment="1">
      <alignment vertical="center"/>
    </xf>
    <xf numFmtId="0" fontId="26" fillId="0" borderId="16" xfId="0" applyFont="1" applyBorder="1" applyAlignment="1">
      <alignment horizontal="center"/>
    </xf>
    <xf numFmtId="0" fontId="26" fillId="0" borderId="20" xfId="0" applyFont="1" applyBorder="1" applyAlignment="1">
      <alignment horizontal="center"/>
    </xf>
    <xf numFmtId="0" fontId="16" fillId="0" borderId="25" xfId="0" applyFont="1" applyBorder="1" applyAlignment="1">
      <alignment vertical="center"/>
    </xf>
    <xf numFmtId="0" fontId="16" fillId="0" borderId="25" xfId="0" applyFont="1" applyBorder="1" applyAlignment="1">
      <alignment vertical="center" wrapText="1"/>
    </xf>
    <xf numFmtId="0" fontId="16" fillId="0" borderId="25" xfId="0" applyFont="1" applyBorder="1" applyAlignment="1">
      <alignment horizontal="center" vertical="center"/>
    </xf>
    <xf numFmtId="0" fontId="16" fillId="0" borderId="20" xfId="0" applyFont="1" applyBorder="1" applyAlignment="1">
      <alignment horizontal="center" vertical="center"/>
    </xf>
    <xf numFmtId="0" fontId="16" fillId="0" borderId="20" xfId="0" applyFont="1" applyBorder="1" applyAlignment="1">
      <alignment horizontal="right" vertical="center"/>
    </xf>
    <xf numFmtId="0" fontId="17" fillId="0" borderId="25" xfId="0" applyFont="1" applyBorder="1" applyAlignment="1">
      <alignment horizontal="centerContinuous" vertical="center" wrapText="1"/>
    </xf>
    <xf numFmtId="0" fontId="16" fillId="35" borderId="26" xfId="0" applyFont="1" applyFill="1" applyBorder="1" applyAlignment="1" applyProtection="1">
      <alignment horizontal="center" vertical="center"/>
      <protection locked="0"/>
    </xf>
    <xf numFmtId="17" fontId="16" fillId="35" borderId="25" xfId="0" applyNumberFormat="1" applyFont="1" applyFill="1" applyBorder="1" applyAlignment="1" applyProtection="1">
      <alignment horizontal="center" vertical="center"/>
      <protection locked="0"/>
    </xf>
    <xf numFmtId="165" fontId="16" fillId="0" borderId="20" xfId="0" applyNumberFormat="1" applyFont="1" applyBorder="1" applyAlignment="1">
      <alignment vertical="center"/>
    </xf>
    <xf numFmtId="0" fontId="17" fillId="0" borderId="25" xfId="0" applyFont="1" applyBorder="1" applyAlignment="1">
      <alignment vertical="center"/>
    </xf>
    <xf numFmtId="0" fontId="17" fillId="0" borderId="25" xfId="0" applyFont="1" applyBorder="1" applyAlignment="1">
      <alignment horizontal="center" vertical="center"/>
    </xf>
    <xf numFmtId="0" fontId="17" fillId="35" borderId="22" xfId="0" applyFont="1" applyFill="1" applyBorder="1" applyAlignment="1" applyProtection="1">
      <alignment horizontal="left" vertical="center" wrapText="1"/>
      <protection locked="0"/>
    </xf>
    <xf numFmtId="0" fontId="17" fillId="35" borderId="22" xfId="0" applyFont="1" applyFill="1" applyBorder="1" applyAlignment="1" applyProtection="1">
      <alignment vertical="center" wrapText="1"/>
      <protection locked="0"/>
    </xf>
    <xf numFmtId="0" fontId="17" fillId="35" borderId="22" xfId="0" applyFont="1" applyFill="1" applyBorder="1" applyAlignment="1" applyProtection="1">
      <alignment horizontal="center" vertical="center" wrapText="1"/>
      <protection locked="0"/>
    </xf>
    <xf numFmtId="167" fontId="17" fillId="35" borderId="22" xfId="0" applyNumberFormat="1" applyFont="1" applyFill="1" applyBorder="1" applyAlignment="1" applyProtection="1">
      <alignment vertical="center" wrapText="1"/>
      <protection locked="0"/>
    </xf>
    <xf numFmtId="165" fontId="17" fillId="35" borderId="22" xfId="0" applyNumberFormat="1" applyFont="1" applyFill="1" applyBorder="1" applyAlignment="1" applyProtection="1">
      <alignment vertical="center" wrapText="1"/>
      <protection locked="0"/>
    </xf>
    <xf numFmtId="165" fontId="34" fillId="0" borderId="22" xfId="0" applyNumberFormat="1" applyFont="1" applyBorder="1" applyAlignment="1">
      <alignment vertical="center"/>
    </xf>
    <xf numFmtId="167" fontId="17" fillId="35" borderId="22" xfId="0" applyNumberFormat="1" applyFont="1" applyFill="1" applyBorder="1" applyAlignment="1" applyProtection="1">
      <alignment horizontal="right" vertical="center" wrapText="1"/>
      <protection locked="0"/>
    </xf>
    <xf numFmtId="165" fontId="17" fillId="0" borderId="22" xfId="0" applyNumberFormat="1" applyFont="1" applyBorder="1" applyAlignment="1">
      <alignment vertical="center"/>
    </xf>
    <xf numFmtId="0" fontId="16" fillId="35" borderId="24" xfId="0" applyFont="1" applyFill="1" applyBorder="1" applyAlignment="1" applyProtection="1">
      <alignment vertical="center" wrapText="1"/>
      <protection locked="0"/>
    </xf>
    <xf numFmtId="0" fontId="0" fillId="35" borderId="16" xfId="0" applyFill="1" applyBorder="1" applyAlignment="1" applyProtection="1">
      <alignment horizontal="left" vertical="center" wrapText="1"/>
      <protection locked="0"/>
    </xf>
    <xf numFmtId="0" fontId="0" fillId="35" borderId="20" xfId="0" applyFill="1" applyBorder="1" applyAlignment="1" applyProtection="1">
      <alignment horizontal="left" vertical="center" wrapText="1"/>
      <protection locked="0"/>
    </xf>
    <xf numFmtId="0" fontId="16" fillId="35" borderId="22" xfId="0" applyFont="1" applyFill="1" applyBorder="1" applyAlignment="1" applyProtection="1">
      <alignment vertical="center" wrapText="1"/>
      <protection locked="0"/>
    </xf>
    <xf numFmtId="0" fontId="16" fillId="35" borderId="23" xfId="0" applyFont="1" applyFill="1" applyBorder="1" applyAlignment="1" applyProtection="1">
      <alignment vertical="center" wrapText="1"/>
      <protection locked="0"/>
    </xf>
    <xf numFmtId="0" fontId="16" fillId="35" borderId="25" xfId="0" applyFont="1" applyFill="1" applyBorder="1" applyAlignment="1" applyProtection="1">
      <alignment horizontal="center" vertical="center"/>
      <protection locked="0"/>
    </xf>
    <xf numFmtId="0" fontId="21" fillId="33" borderId="27" xfId="0" applyFont="1" applyFill="1" applyBorder="1" applyAlignment="1" applyProtection="1">
      <alignment vertical="center" wrapText="1"/>
      <protection locked="0"/>
    </xf>
    <xf numFmtId="0" fontId="21" fillId="33" borderId="28" xfId="0" applyFont="1" applyFill="1" applyBorder="1" applyAlignment="1" applyProtection="1">
      <alignment vertical="center" wrapText="1"/>
      <protection locked="0"/>
    </xf>
    <xf numFmtId="0" fontId="20" fillId="0" borderId="29" xfId="0" applyFont="1" applyBorder="1" applyAlignment="1">
      <alignment horizontal="center" vertical="center" wrapText="1"/>
    </xf>
    <xf numFmtId="2" fontId="20" fillId="0" borderId="13" xfId="50" applyNumberFormat="1" applyFont="1" applyFill="1" applyBorder="1" applyAlignment="1">
      <alignment horizontal="center" vertical="center" wrapText="1"/>
    </xf>
    <xf numFmtId="49" fontId="20" fillId="0" borderId="13" xfId="0" applyNumberFormat="1" applyFont="1" applyBorder="1" applyAlignment="1">
      <alignment horizontal="center" vertical="center"/>
    </xf>
    <xf numFmtId="0" fontId="21" fillId="33" borderId="29" xfId="0" applyFont="1" applyFill="1" applyBorder="1" applyAlignment="1" applyProtection="1">
      <alignment horizontal="center" vertical="center" wrapText="1"/>
      <protection locked="0"/>
    </xf>
    <xf numFmtId="165" fontId="21" fillId="33" borderId="15" xfId="0" applyNumberFormat="1" applyFont="1" applyFill="1" applyBorder="1" applyAlignment="1" applyProtection="1">
      <alignment vertical="center" wrapText="1"/>
      <protection locked="0"/>
    </xf>
    <xf numFmtId="165" fontId="24" fillId="33" borderId="30" xfId="0" applyNumberFormat="1" applyFont="1" applyFill="1" applyBorder="1" applyAlignment="1">
      <alignment horizontal="center" vertical="center" wrapText="1"/>
    </xf>
    <xf numFmtId="0" fontId="0" fillId="33" borderId="0" xfId="0" applyFill="1"/>
    <xf numFmtId="165" fontId="0" fillId="33" borderId="0" xfId="0" applyNumberFormat="1" applyFill="1"/>
    <xf numFmtId="0" fontId="0" fillId="36" borderId="0" xfId="0" applyFill="1"/>
    <xf numFmtId="10" fontId="13" fillId="34" borderId="21" xfId="35" applyNumberFormat="1" applyFont="1" applyFill="1" applyBorder="1" applyAlignment="1">
      <alignment vertical="top" wrapText="1"/>
    </xf>
    <xf numFmtId="0" fontId="3" fillId="36" borderId="31" xfId="0" applyFont="1" applyFill="1" applyBorder="1" applyAlignment="1">
      <alignment wrapText="1"/>
    </xf>
    <xf numFmtId="0" fontId="0" fillId="36" borderId="32" xfId="0" applyFill="1" applyBorder="1" applyAlignment="1">
      <alignment vertical="center"/>
    </xf>
    <xf numFmtId="0" fontId="3" fillId="36" borderId="0" xfId="0" applyFont="1" applyFill="1" applyAlignment="1">
      <alignment wrapText="1"/>
    </xf>
    <xf numFmtId="0" fontId="3" fillId="36" borderId="31" xfId="0" applyFont="1" applyFill="1" applyBorder="1"/>
    <xf numFmtId="0" fontId="0" fillId="36" borderId="0" xfId="0" applyFill="1" applyAlignment="1">
      <alignment wrapText="1"/>
    </xf>
    <xf numFmtId="0" fontId="0" fillId="36" borderId="31" xfId="0" applyFill="1" applyBorder="1"/>
    <xf numFmtId="0" fontId="2" fillId="36" borderId="0" xfId="0" applyFont="1" applyFill="1" applyAlignment="1">
      <alignment horizontal="center" vertical="center" wrapText="1"/>
    </xf>
    <xf numFmtId="0" fontId="14" fillId="36" borderId="31" xfId="0" applyFont="1" applyFill="1" applyBorder="1"/>
    <xf numFmtId="0" fontId="0" fillId="36" borderId="32" xfId="0" applyFill="1" applyBorder="1" applyAlignment="1">
      <alignment horizontal="center" vertical="center"/>
    </xf>
    <xf numFmtId="0" fontId="14" fillId="36" borderId="0" xfId="0" applyFont="1" applyFill="1" applyAlignment="1">
      <alignment wrapText="1"/>
    </xf>
    <xf numFmtId="0" fontId="3" fillId="36" borderId="0" xfId="0" applyFont="1" applyFill="1" applyAlignment="1">
      <alignment horizontal="right"/>
    </xf>
    <xf numFmtId="0" fontId="12" fillId="36" borderId="33" xfId="0" applyFont="1" applyFill="1" applyBorder="1"/>
    <xf numFmtId="0" fontId="0" fillId="36" borderId="18" xfId="0" applyFill="1" applyBorder="1" applyAlignment="1">
      <alignment horizontal="center" vertical="center"/>
    </xf>
    <xf numFmtId="0" fontId="12" fillId="36" borderId="34" xfId="0" applyFont="1" applyFill="1" applyBorder="1" applyAlignment="1">
      <alignment wrapText="1"/>
    </xf>
    <xf numFmtId="0" fontId="0" fillId="36" borderId="34" xfId="0" applyFill="1" applyBorder="1"/>
    <xf numFmtId="0" fontId="3" fillId="34" borderId="35" xfId="0" applyFont="1" applyFill="1" applyBorder="1" applyAlignment="1">
      <alignment horizontal="right" vertical="center"/>
    </xf>
    <xf numFmtId="0" fontId="3" fillId="34" borderId="36" xfId="0" applyFont="1" applyFill="1" applyBorder="1" applyAlignment="1">
      <alignment horizontal="center" vertical="center"/>
    </xf>
    <xf numFmtId="0" fontId="3" fillId="34" borderId="36" xfId="0" applyFont="1" applyFill="1" applyBorder="1" applyAlignment="1">
      <alignment horizontal="center" vertical="center" wrapText="1"/>
    </xf>
    <xf numFmtId="10" fontId="0" fillId="0" borderId="0" xfId="0" applyNumberFormat="1"/>
    <xf numFmtId="0" fontId="3" fillId="33" borderId="37" xfId="0" applyFont="1" applyFill="1" applyBorder="1" applyAlignment="1">
      <alignment horizontal="center" vertical="center"/>
    </xf>
    <xf numFmtId="0" fontId="3" fillId="33" borderId="38" xfId="0" applyFont="1" applyFill="1" applyBorder="1" applyAlignment="1">
      <alignment horizontal="center" vertical="center"/>
    </xf>
    <xf numFmtId="0" fontId="21" fillId="33" borderId="15" xfId="0" applyFont="1" applyFill="1" applyBorder="1" applyAlignment="1" applyProtection="1">
      <alignment horizontal="left" vertical="center" wrapText="1"/>
      <protection locked="0"/>
    </xf>
    <xf numFmtId="165" fontId="20" fillId="0" borderId="15" xfId="0" applyNumberFormat="1" applyFont="1" applyBorder="1" applyAlignment="1">
      <alignment horizontal="left" vertical="center" wrapText="1"/>
    </xf>
    <xf numFmtId="0" fontId="33" fillId="0" borderId="35" xfId="0" applyFont="1" applyBorder="1"/>
    <xf numFmtId="0" fontId="0" fillId="0" borderId="32" xfId="0" applyBorder="1"/>
    <xf numFmtId="44" fontId="0" fillId="0" borderId="32" xfId="0" applyNumberFormat="1" applyBorder="1"/>
    <xf numFmtId="165" fontId="0" fillId="0" borderId="32" xfId="0" applyNumberFormat="1" applyBorder="1"/>
    <xf numFmtId="0" fontId="0" fillId="0" borderId="39" xfId="0" applyBorder="1"/>
    <xf numFmtId="0" fontId="25" fillId="37" borderId="25" xfId="0" applyFont="1" applyFill="1" applyBorder="1" applyAlignment="1">
      <alignment horizontal="center" vertical="center" wrapText="1"/>
    </xf>
    <xf numFmtId="2" fontId="20" fillId="0" borderId="40" xfId="0" applyNumberFormat="1" applyFont="1" applyBorder="1" applyAlignment="1">
      <alignment horizontal="center" vertical="center" wrapText="1"/>
    </xf>
    <xf numFmtId="4" fontId="20" fillId="0" borderId="40" xfId="0" applyNumberFormat="1" applyFont="1" applyBorder="1" applyAlignment="1">
      <alignment horizontal="center" vertical="center" wrapText="1"/>
    </xf>
    <xf numFmtId="165" fontId="20" fillId="0" borderId="40" xfId="0" applyNumberFormat="1" applyFont="1" applyBorder="1" applyAlignment="1">
      <alignment horizontal="center" vertical="center" wrapText="1"/>
    </xf>
    <xf numFmtId="0" fontId="24" fillId="33" borderId="29" xfId="0" applyFont="1" applyFill="1" applyBorder="1" applyAlignment="1">
      <alignment horizontal="center" vertical="center" wrapText="1"/>
    </xf>
    <xf numFmtId="2" fontId="20" fillId="33" borderId="41" xfId="0" applyNumberFormat="1" applyFont="1" applyFill="1" applyBorder="1" applyAlignment="1">
      <alignment horizontal="center" vertical="center" wrapText="1"/>
    </xf>
    <xf numFmtId="2" fontId="20" fillId="33" borderId="42" xfId="0" applyNumberFormat="1" applyFont="1" applyFill="1" applyBorder="1" applyAlignment="1">
      <alignment horizontal="center" vertical="center" wrapText="1"/>
    </xf>
    <xf numFmtId="4" fontId="20" fillId="33" borderId="42" xfId="0" applyNumberFormat="1" applyFont="1" applyFill="1" applyBorder="1" applyAlignment="1">
      <alignment horizontal="center" vertical="center" wrapText="1"/>
    </xf>
    <xf numFmtId="165" fontId="20" fillId="33" borderId="42" xfId="0" applyNumberFormat="1" applyFont="1" applyFill="1" applyBorder="1" applyAlignment="1">
      <alignment horizontal="center" vertical="center" wrapText="1"/>
    </xf>
    <xf numFmtId="165" fontId="20" fillId="33" borderId="41" xfId="0" applyNumberFormat="1" applyFont="1" applyFill="1" applyBorder="1" applyAlignment="1">
      <alignment horizontal="center" vertical="center" wrapText="1"/>
    </xf>
    <xf numFmtId="165" fontId="20" fillId="0" borderId="42" xfId="0" applyNumberFormat="1" applyFont="1" applyBorder="1" applyAlignment="1">
      <alignment horizontal="center" vertical="center" wrapText="1"/>
    </xf>
    <xf numFmtId="0" fontId="25" fillId="0" borderId="43" xfId="0" applyFont="1" applyBorder="1" applyAlignment="1">
      <alignment horizontal="center" vertical="top" wrapText="1"/>
    </xf>
    <xf numFmtId="0" fontId="32" fillId="0" borderId="39" xfId="0" applyFont="1" applyBorder="1" applyAlignment="1">
      <alignment vertical="top" wrapText="1"/>
    </xf>
    <xf numFmtId="165" fontId="20" fillId="0" borderId="27" xfId="0" applyNumberFormat="1" applyFont="1" applyBorder="1" applyAlignment="1">
      <alignment horizontal="center" vertical="center" wrapText="1"/>
    </xf>
    <xf numFmtId="165" fontId="20" fillId="0" borderId="28" xfId="0" applyNumberFormat="1" applyFont="1" applyBorder="1" applyAlignment="1">
      <alignment horizontal="center" vertical="center" wrapText="1"/>
    </xf>
    <xf numFmtId="0" fontId="20" fillId="0" borderId="44" xfId="0" applyFont="1" applyBorder="1" applyAlignment="1">
      <alignment horizontal="center" vertical="center" wrapText="1"/>
    </xf>
    <xf numFmtId="0" fontId="20" fillId="33" borderId="44" xfId="0" applyFont="1" applyFill="1" applyBorder="1" applyAlignment="1">
      <alignment horizontal="center" vertical="center" wrapText="1"/>
    </xf>
    <xf numFmtId="165" fontId="20" fillId="0" borderId="45" xfId="0" applyNumberFormat="1" applyFont="1" applyBorder="1" applyAlignment="1">
      <alignment horizontal="center" vertical="center" wrapText="1"/>
    </xf>
    <xf numFmtId="0" fontId="20" fillId="0" borderId="0" xfId="0" applyFont="1" applyAlignment="1">
      <alignment horizontal="center" vertical="center" wrapText="1"/>
    </xf>
    <xf numFmtId="0" fontId="20" fillId="33" borderId="0" xfId="0" applyFont="1" applyFill="1" applyAlignment="1">
      <alignment horizontal="center" vertical="center" wrapText="1"/>
    </xf>
    <xf numFmtId="0" fontId="24" fillId="33" borderId="0" xfId="0" applyFont="1" applyFill="1" applyAlignment="1">
      <alignment horizontal="center" vertical="center" wrapText="1"/>
    </xf>
    <xf numFmtId="2" fontId="20" fillId="0" borderId="13" xfId="0" applyNumberFormat="1" applyFont="1" applyBorder="1" applyAlignment="1">
      <alignment horizontal="center" vertical="center" wrapText="1"/>
    </xf>
    <xf numFmtId="0" fontId="20" fillId="0" borderId="46" xfId="0" applyFont="1" applyBorder="1" applyAlignment="1">
      <alignment horizontal="center" vertical="center" wrapText="1"/>
    </xf>
    <xf numFmtId="0" fontId="20" fillId="0" borderId="28" xfId="0" applyFont="1" applyBorder="1" applyAlignment="1">
      <alignment horizontal="center" vertical="center" wrapText="1"/>
    </xf>
    <xf numFmtId="2" fontId="20" fillId="0" borderId="45" xfId="0" applyNumberFormat="1" applyFont="1" applyBorder="1" applyAlignment="1">
      <alignment horizontal="center" vertical="center" wrapText="1"/>
    </xf>
    <xf numFmtId="165" fontId="20" fillId="0" borderId="47" xfId="0" applyNumberFormat="1" applyFont="1" applyBorder="1" applyAlignment="1">
      <alignment horizontal="center" vertical="center" wrapText="1"/>
    </xf>
    <xf numFmtId="165" fontId="20" fillId="0" borderId="48" xfId="0" applyNumberFormat="1" applyFont="1" applyBorder="1" applyAlignment="1">
      <alignment horizontal="center" vertical="center" wrapText="1"/>
    </xf>
    <xf numFmtId="4" fontId="20" fillId="0" borderId="45" xfId="0" applyNumberFormat="1" applyFont="1" applyBorder="1" applyAlignment="1">
      <alignment horizontal="center" vertical="center" wrapText="1"/>
    </xf>
    <xf numFmtId="0" fontId="20" fillId="0" borderId="49" xfId="0" applyFont="1" applyBorder="1" applyAlignment="1">
      <alignment horizontal="center" vertical="center" wrapText="1"/>
    </xf>
    <xf numFmtId="0" fontId="0" fillId="0" borderId="49" xfId="0" applyBorder="1"/>
    <xf numFmtId="0" fontId="0" fillId="0" borderId="48" xfId="0" applyBorder="1"/>
    <xf numFmtId="0" fontId="0" fillId="0" borderId="50" xfId="0" applyBorder="1"/>
    <xf numFmtId="0" fontId="0" fillId="0" borderId="42" xfId="0" applyBorder="1"/>
    <xf numFmtId="0" fontId="0" fillId="0" borderId="51" xfId="0" applyBorder="1"/>
    <xf numFmtId="0" fontId="20" fillId="0" borderId="47" xfId="0" applyFont="1" applyBorder="1" applyAlignment="1">
      <alignment horizontal="center" vertical="center" wrapText="1"/>
    </xf>
    <xf numFmtId="0" fontId="20" fillId="0" borderId="13" xfId="0" applyFont="1" applyBorder="1" applyAlignment="1">
      <alignment horizontal="center" vertical="center" wrapText="1"/>
    </xf>
    <xf numFmtId="0" fontId="20" fillId="0" borderId="52" xfId="0" applyFont="1" applyBorder="1" applyAlignment="1">
      <alignment horizontal="center" vertical="center" wrapText="1"/>
    </xf>
    <xf numFmtId="0" fontId="20" fillId="0" borderId="53" xfId="0" applyFont="1" applyBorder="1" applyAlignment="1">
      <alignment horizontal="center" vertical="center" wrapText="1"/>
    </xf>
    <xf numFmtId="165" fontId="20" fillId="0" borderId="54" xfId="0" applyNumberFormat="1" applyFont="1" applyBorder="1" applyAlignment="1">
      <alignment horizontal="center" vertical="center" wrapText="1"/>
    </xf>
    <xf numFmtId="0" fontId="24" fillId="33" borderId="50" xfId="0" applyFont="1" applyFill="1" applyBorder="1" applyAlignment="1">
      <alignment vertical="center" wrapText="1"/>
    </xf>
    <xf numFmtId="0" fontId="24" fillId="33" borderId="42" xfId="0" applyFont="1" applyFill="1" applyBorder="1" applyAlignment="1">
      <alignment vertical="center" wrapText="1"/>
    </xf>
    <xf numFmtId="0" fontId="21" fillId="33" borderId="55" xfId="0" applyFont="1" applyFill="1" applyBorder="1" applyAlignment="1" applyProtection="1">
      <alignment horizontal="center" vertical="center" wrapText="1"/>
      <protection locked="0"/>
    </xf>
    <xf numFmtId="0" fontId="20" fillId="0" borderId="55" xfId="0" applyFont="1" applyBorder="1" applyAlignment="1">
      <alignment horizontal="center" vertical="center" wrapText="1"/>
    </xf>
    <xf numFmtId="0" fontId="20" fillId="33" borderId="56" xfId="0" applyFont="1" applyFill="1" applyBorder="1" applyAlignment="1">
      <alignment horizontal="center" vertical="center" wrapText="1"/>
    </xf>
    <xf numFmtId="0" fontId="20" fillId="0" borderId="56" xfId="0" applyFont="1" applyBorder="1" applyAlignment="1">
      <alignment horizontal="center" vertical="center" wrapText="1"/>
    </xf>
    <xf numFmtId="0" fontId="24" fillId="33" borderId="56" xfId="0" applyFont="1" applyFill="1" applyBorder="1" applyAlignment="1">
      <alignment horizontal="center" vertical="center" wrapText="1"/>
    </xf>
    <xf numFmtId="0" fontId="24" fillId="33" borderId="55" xfId="0" applyFont="1" applyFill="1" applyBorder="1" applyAlignment="1">
      <alignment horizontal="center" vertical="center" wrapText="1"/>
    </xf>
    <xf numFmtId="0" fontId="20" fillId="0" borderId="57" xfId="0" applyFont="1" applyBorder="1" applyAlignment="1">
      <alignment horizontal="center" vertical="center" wrapText="1"/>
    </xf>
    <xf numFmtId="2" fontId="20" fillId="0" borderId="58" xfId="0" applyNumberFormat="1" applyFont="1" applyBorder="1" applyAlignment="1">
      <alignment horizontal="center" vertical="center" wrapText="1"/>
    </xf>
    <xf numFmtId="4" fontId="20" fillId="0" borderId="58" xfId="0" applyNumberFormat="1" applyFont="1" applyBorder="1" applyAlignment="1">
      <alignment horizontal="center" vertical="center" wrapText="1"/>
    </xf>
    <xf numFmtId="0" fontId="20" fillId="33" borderId="59" xfId="0" applyFont="1" applyFill="1" applyBorder="1" applyAlignment="1">
      <alignment horizontal="center" vertical="center" wrapText="1"/>
    </xf>
    <xf numFmtId="0" fontId="20" fillId="0" borderId="59" xfId="0" applyFont="1" applyBorder="1" applyAlignment="1">
      <alignment horizontal="center" vertical="center" wrapText="1"/>
    </xf>
    <xf numFmtId="0" fontId="20" fillId="0" borderId="60" xfId="0" applyFont="1" applyBorder="1" applyAlignment="1">
      <alignment horizontal="center" vertical="center" wrapText="1"/>
    </xf>
    <xf numFmtId="0" fontId="24" fillId="33" borderId="59" xfId="0" applyFont="1" applyFill="1" applyBorder="1" applyAlignment="1">
      <alignment horizontal="center" vertical="center" wrapText="1"/>
    </xf>
    <xf numFmtId="4" fontId="20" fillId="0" borderId="41" xfId="0" applyNumberFormat="1" applyFont="1" applyBorder="1" applyAlignment="1">
      <alignment horizontal="center" vertical="center" wrapText="1"/>
    </xf>
    <xf numFmtId="2" fontId="20" fillId="0" borderId="61" xfId="0" applyNumberFormat="1" applyFont="1" applyBorder="1" applyAlignment="1">
      <alignment horizontal="left" vertical="center" wrapText="1"/>
    </xf>
    <xf numFmtId="0" fontId="0" fillId="34" borderId="32" xfId="0" applyFill="1" applyBorder="1" applyAlignment="1">
      <alignment vertical="center" wrapText="1"/>
    </xf>
    <xf numFmtId="49" fontId="13" fillId="34" borderId="62" xfId="0" applyNumberFormat="1" applyFont="1" applyFill="1" applyBorder="1" applyAlignment="1">
      <alignment horizontal="center" vertical="top" wrapText="1"/>
    </xf>
    <xf numFmtId="166" fontId="13" fillId="34" borderId="62" xfId="0" applyNumberFormat="1" applyFont="1" applyFill="1" applyBorder="1" applyAlignment="1">
      <alignment vertical="top" wrapText="1"/>
    </xf>
    <xf numFmtId="0" fontId="53" fillId="0" borderId="31" xfId="33" applyBorder="1" applyAlignment="1" applyProtection="1">
      <alignment vertical="center"/>
      <protection hidden="1"/>
    </xf>
    <xf numFmtId="0" fontId="53" fillId="0" borderId="63" xfId="33" applyBorder="1" applyAlignment="1" applyProtection="1">
      <alignment vertical="center"/>
      <protection hidden="1"/>
    </xf>
    <xf numFmtId="0" fontId="3" fillId="38" borderId="25" xfId="33" applyFont="1" applyFill="1" applyBorder="1" applyAlignment="1" applyProtection="1">
      <alignment horizontal="center" vertical="center"/>
      <protection hidden="1"/>
    </xf>
    <xf numFmtId="0" fontId="4" fillId="39" borderId="25" xfId="33" applyFont="1" applyFill="1" applyBorder="1" applyAlignment="1" applyProtection="1">
      <alignment horizontal="center" vertical="center"/>
      <protection hidden="1"/>
    </xf>
    <xf numFmtId="10" fontId="0" fillId="0" borderId="25" xfId="37" applyNumberFormat="1" applyFont="1" applyBorder="1" applyAlignment="1" applyProtection="1">
      <alignment horizontal="center" vertical="center"/>
      <protection hidden="1"/>
    </xf>
    <xf numFmtId="10" fontId="9" fillId="0" borderId="25" xfId="37" applyNumberFormat="1" applyFont="1" applyBorder="1" applyAlignment="1" applyProtection="1">
      <alignment horizontal="center" vertical="center"/>
      <protection hidden="1"/>
    </xf>
    <xf numFmtId="0" fontId="12" fillId="0" borderId="25" xfId="33" applyFont="1" applyBorder="1" applyAlignment="1" applyProtection="1">
      <alignment vertical="center"/>
      <protection hidden="1"/>
    </xf>
    <xf numFmtId="0" fontId="53" fillId="0" borderId="0" xfId="33" applyAlignment="1" applyProtection="1">
      <alignment vertical="center"/>
      <protection hidden="1"/>
    </xf>
    <xf numFmtId="0" fontId="53" fillId="0" borderId="33" xfId="33" applyBorder="1" applyAlignment="1" applyProtection="1">
      <alignment vertical="center"/>
      <protection hidden="1"/>
    </xf>
    <xf numFmtId="0" fontId="12" fillId="0" borderId="64" xfId="33" applyFont="1" applyBorder="1" applyAlignment="1" applyProtection="1">
      <alignment vertical="center"/>
      <protection hidden="1"/>
    </xf>
    <xf numFmtId="0" fontId="0" fillId="0" borderId="64" xfId="0" applyBorder="1"/>
    <xf numFmtId="10" fontId="9" fillId="0" borderId="18" xfId="37" applyNumberFormat="1" applyFont="1" applyBorder="1" applyAlignment="1" applyProtection="1">
      <alignment vertical="center"/>
      <protection hidden="1"/>
    </xf>
    <xf numFmtId="10" fontId="9" fillId="0" borderId="65" xfId="37" applyNumberFormat="1" applyFont="1" applyBorder="1" applyAlignment="1" applyProtection="1">
      <alignment vertical="center"/>
      <protection hidden="1"/>
    </xf>
    <xf numFmtId="0" fontId="53" fillId="0" borderId="66" xfId="33" applyBorder="1" applyAlignment="1" applyProtection="1">
      <alignment vertical="center"/>
      <protection hidden="1"/>
    </xf>
    <xf numFmtId="10" fontId="22" fillId="0" borderId="18" xfId="0" applyNumberFormat="1" applyFont="1" applyBorder="1" applyAlignment="1">
      <alignment horizontal="center" vertical="distributed"/>
    </xf>
    <xf numFmtId="4" fontId="10" fillId="34" borderId="67" xfId="0" applyNumberFormat="1" applyFont="1" applyFill="1" applyBorder="1" applyAlignment="1">
      <alignment vertical="top" wrapText="1"/>
    </xf>
    <xf numFmtId="0" fontId="0" fillId="34" borderId="31" xfId="0" applyFill="1" applyBorder="1"/>
    <xf numFmtId="0" fontId="0" fillId="34" borderId="63" xfId="0" applyFill="1" applyBorder="1"/>
    <xf numFmtId="0" fontId="3" fillId="34" borderId="68" xfId="0" applyFont="1" applyFill="1" applyBorder="1" applyAlignment="1">
      <alignment horizontal="center" vertical="center"/>
    </xf>
    <xf numFmtId="0" fontId="3" fillId="34" borderId="69" xfId="0" applyFont="1" applyFill="1" applyBorder="1" applyAlignment="1">
      <alignment horizontal="center" vertical="center"/>
    </xf>
    <xf numFmtId="10" fontId="10" fillId="34" borderId="70" xfId="0" applyNumberFormat="1" applyFont="1" applyFill="1" applyBorder="1" applyAlignment="1">
      <alignment vertical="top" wrapText="1"/>
    </xf>
    <xf numFmtId="4" fontId="10" fillId="34" borderId="71" xfId="0" applyNumberFormat="1" applyFont="1" applyFill="1" applyBorder="1" applyAlignment="1">
      <alignment vertical="top" wrapText="1"/>
    </xf>
    <xf numFmtId="10" fontId="13" fillId="34" borderId="70" xfId="35" applyNumberFormat="1" applyFont="1" applyFill="1" applyBorder="1" applyAlignment="1">
      <alignment vertical="top" wrapText="1"/>
    </xf>
    <xf numFmtId="166" fontId="13" fillId="34" borderId="72" xfId="0" applyNumberFormat="1" applyFont="1" applyFill="1" applyBorder="1" applyAlignment="1">
      <alignment vertical="top" wrapText="1"/>
    </xf>
    <xf numFmtId="0" fontId="0" fillId="34" borderId="73" xfId="0" applyFill="1" applyBorder="1" applyAlignment="1">
      <alignment vertical="center"/>
    </xf>
    <xf numFmtId="0" fontId="0" fillId="34" borderId="74" xfId="0" applyFill="1" applyBorder="1" applyAlignment="1">
      <alignment vertical="center"/>
    </xf>
    <xf numFmtId="0" fontId="3" fillId="36" borderId="63" xfId="0" applyFont="1" applyFill="1" applyBorder="1" applyAlignment="1">
      <alignment wrapText="1"/>
    </xf>
    <xf numFmtId="0" fontId="0" fillId="36" borderId="63" xfId="0" applyFill="1" applyBorder="1"/>
    <xf numFmtId="0" fontId="3" fillId="36" borderId="63" xfId="0" applyFont="1" applyFill="1" applyBorder="1" applyAlignment="1">
      <alignment horizontal="right"/>
    </xf>
    <xf numFmtId="0" fontId="0" fillId="36" borderId="66" xfId="0" applyFill="1" applyBorder="1"/>
    <xf numFmtId="10" fontId="21" fillId="0" borderId="19" xfId="0" applyNumberFormat="1" applyFont="1" applyBorder="1" applyAlignment="1">
      <alignment horizontal="center" vertical="distributed"/>
    </xf>
    <xf numFmtId="0" fontId="3" fillId="34" borderId="35" xfId="0" applyFont="1" applyFill="1" applyBorder="1" applyAlignment="1">
      <alignment horizontal="left" vertical="center"/>
    </xf>
    <xf numFmtId="0" fontId="22" fillId="0" borderId="24" xfId="0" applyFont="1" applyBorder="1" applyAlignment="1">
      <alignment vertical="distributed"/>
    </xf>
    <xf numFmtId="0" fontId="22" fillId="0" borderId="17" xfId="0" applyFont="1" applyBorder="1" applyAlignment="1">
      <alignment vertical="distributed"/>
    </xf>
    <xf numFmtId="0" fontId="0" fillId="36" borderId="74" xfId="0" applyFill="1" applyBorder="1" applyAlignment="1">
      <alignment vertical="center"/>
    </xf>
    <xf numFmtId="0" fontId="14" fillId="36" borderId="34" xfId="0" applyFont="1" applyFill="1" applyBorder="1" applyAlignment="1">
      <alignment vertical="center"/>
    </xf>
    <xf numFmtId="0" fontId="14" fillId="36" borderId="33" xfId="0" applyFont="1" applyFill="1" applyBorder="1" applyAlignment="1">
      <alignment vertical="center"/>
    </xf>
    <xf numFmtId="0" fontId="53" fillId="36" borderId="34" xfId="31" applyFill="1" applyBorder="1" applyAlignment="1">
      <alignment horizontal="center" vertical="center"/>
    </xf>
    <xf numFmtId="0" fontId="14" fillId="36" borderId="100" xfId="0" applyFont="1" applyFill="1" applyBorder="1" applyAlignment="1">
      <alignment vertical="center"/>
    </xf>
    <xf numFmtId="0" fontId="14" fillId="36" borderId="101" xfId="0" applyFont="1" applyFill="1" applyBorder="1" applyAlignment="1">
      <alignment vertical="center"/>
    </xf>
    <xf numFmtId="0" fontId="77" fillId="36" borderId="0" xfId="0" applyFont="1" applyFill="1" applyAlignment="1">
      <alignment vertical="center"/>
    </xf>
    <xf numFmtId="0" fontId="14" fillId="36" borderId="63" xfId="0" applyFont="1" applyFill="1" applyBorder="1" applyAlignment="1">
      <alignment vertical="center"/>
    </xf>
    <xf numFmtId="0" fontId="14" fillId="36" borderId="0" xfId="0" applyFont="1" applyFill="1" applyAlignment="1">
      <alignment vertical="center"/>
    </xf>
    <xf numFmtId="0" fontId="14" fillId="36" borderId="66" xfId="0" applyFont="1" applyFill="1" applyBorder="1" applyAlignment="1">
      <alignment vertical="center"/>
    </xf>
    <xf numFmtId="0" fontId="14" fillId="36" borderId="102" xfId="0" applyFont="1" applyFill="1" applyBorder="1" applyAlignment="1">
      <alignment vertical="center"/>
    </xf>
    <xf numFmtId="0" fontId="14" fillId="36" borderId="31" xfId="0" applyFont="1" applyFill="1" applyBorder="1" applyAlignment="1">
      <alignment vertical="center"/>
    </xf>
    <xf numFmtId="0" fontId="16" fillId="35" borderId="127" xfId="0" applyFont="1" applyFill="1" applyBorder="1" applyAlignment="1" applyProtection="1">
      <alignment horizontal="center" vertical="center"/>
      <protection locked="0"/>
    </xf>
    <xf numFmtId="0" fontId="17" fillId="0" borderId="129" xfId="0" applyFont="1" applyBorder="1" applyAlignment="1">
      <alignment vertical="center"/>
    </xf>
    <xf numFmtId="0" fontId="17" fillId="0" borderId="129" xfId="0" applyFont="1" applyBorder="1" applyAlignment="1">
      <alignment horizontal="left" vertical="center"/>
    </xf>
    <xf numFmtId="0" fontId="17" fillId="0" borderId="129" xfId="0" applyFont="1" applyBorder="1" applyAlignment="1">
      <alignment horizontal="center" vertical="center"/>
    </xf>
    <xf numFmtId="0" fontId="16" fillId="36" borderId="130" xfId="0" applyFont="1" applyFill="1" applyBorder="1" applyAlignment="1">
      <alignment horizontal="left" vertical="center"/>
    </xf>
    <xf numFmtId="0" fontId="16" fillId="36" borderId="130" xfId="0" applyFont="1" applyFill="1" applyBorder="1" applyAlignment="1">
      <alignment vertical="center" wrapText="1"/>
    </xf>
    <xf numFmtId="0" fontId="16" fillId="36" borderId="130" xfId="0" applyFont="1" applyFill="1" applyBorder="1" applyAlignment="1">
      <alignment horizontal="center" vertical="center"/>
    </xf>
    <xf numFmtId="0" fontId="17" fillId="0" borderId="127" xfId="0" applyFont="1" applyBorder="1" applyAlignment="1">
      <alignment horizontal="left" vertical="center" wrapText="1"/>
    </xf>
    <xf numFmtId="17" fontId="16" fillId="35" borderId="127" xfId="0" applyNumberFormat="1" applyFont="1" applyFill="1" applyBorder="1" applyAlignment="1" applyProtection="1">
      <alignment horizontal="center" vertical="center" wrapText="1"/>
      <protection locked="0"/>
    </xf>
    <xf numFmtId="17" fontId="16" fillId="35" borderId="127" xfId="0" applyNumberFormat="1" applyFont="1" applyFill="1" applyBorder="1" applyAlignment="1" applyProtection="1">
      <alignment horizontal="center" vertical="center"/>
      <protection locked="0"/>
    </xf>
    <xf numFmtId="0" fontId="16" fillId="0" borderId="10" xfId="31" applyFont="1" applyBorder="1" applyAlignment="1">
      <alignment vertical="center"/>
    </xf>
    <xf numFmtId="0" fontId="16" fillId="0" borderId="11" xfId="31" applyFont="1" applyBorder="1" applyAlignment="1">
      <alignment horizontal="left" vertical="center"/>
    </xf>
    <xf numFmtId="0" fontId="16" fillId="0" borderId="11" xfId="31" applyFont="1" applyBorder="1" applyAlignment="1">
      <alignment vertical="center" wrapText="1"/>
    </xf>
    <xf numFmtId="0" fontId="16" fillId="0" borderId="11" xfId="31" applyFont="1" applyBorder="1" applyAlignment="1">
      <alignment horizontal="center" vertical="center"/>
    </xf>
    <xf numFmtId="0" fontId="16" fillId="0" borderId="38" xfId="31" applyFont="1" applyBorder="1" applyAlignment="1">
      <alignment horizontal="center" vertical="center"/>
    </xf>
    <xf numFmtId="0" fontId="16" fillId="0" borderId="99" xfId="31" applyFont="1" applyBorder="1" applyAlignment="1">
      <alignment horizontal="right" vertical="center"/>
    </xf>
    <xf numFmtId="0" fontId="17" fillId="0" borderId="123" xfId="0" applyFont="1" applyBorder="1" applyAlignment="1">
      <alignment horizontal="centerContinuous" vertical="center" wrapText="1"/>
    </xf>
    <xf numFmtId="0" fontId="16" fillId="35" borderId="0" xfId="0" applyFont="1" applyFill="1" applyAlignment="1" applyProtection="1">
      <alignment horizontal="left" vertical="center" wrapText="1"/>
      <protection locked="0"/>
    </xf>
    <xf numFmtId="165" fontId="16" fillId="0" borderId="128" xfId="0" applyNumberFormat="1" applyFont="1" applyBorder="1" applyAlignment="1">
      <alignment vertical="center"/>
    </xf>
    <xf numFmtId="0" fontId="17" fillId="0" borderId="122" xfId="0" applyFont="1" applyBorder="1" applyAlignment="1">
      <alignment vertical="center"/>
    </xf>
    <xf numFmtId="0" fontId="17" fillId="0" borderId="124" xfId="0" applyFont="1" applyBorder="1" applyAlignment="1">
      <alignment horizontal="center" vertical="center"/>
    </xf>
    <xf numFmtId="165" fontId="17" fillId="0" borderId="125" xfId="0" quotePrefix="1" applyNumberFormat="1" applyFont="1" applyBorder="1" applyAlignment="1">
      <alignment vertical="center"/>
    </xf>
    <xf numFmtId="0" fontId="16" fillId="36" borderId="121" xfId="0" applyFont="1" applyFill="1" applyBorder="1" applyAlignment="1">
      <alignment vertical="center"/>
    </xf>
    <xf numFmtId="0" fontId="16" fillId="36" borderId="126" xfId="0" applyFont="1" applyFill="1" applyBorder="1" applyAlignment="1">
      <alignment horizontal="right" vertical="center"/>
    </xf>
    <xf numFmtId="0" fontId="53" fillId="36" borderId="31" xfId="31" applyFill="1" applyBorder="1"/>
    <xf numFmtId="0" fontId="53" fillId="36" borderId="0" xfId="31" applyFill="1"/>
    <xf numFmtId="0" fontId="2" fillId="36" borderId="0" xfId="31" applyFont="1" applyFill="1" applyAlignment="1">
      <alignment horizontal="center" vertical="center"/>
    </xf>
    <xf numFmtId="167" fontId="17" fillId="36" borderId="0" xfId="31" applyNumberFormat="1" applyFont="1" applyFill="1" applyAlignment="1" applyProtection="1">
      <alignment vertical="center" wrapText="1"/>
      <protection locked="0"/>
    </xf>
    <xf numFmtId="165" fontId="17" fillId="36" borderId="63" xfId="31" quotePrefix="1" applyNumberFormat="1" applyFont="1" applyFill="1" applyBorder="1" applyAlignment="1">
      <alignment vertical="center"/>
    </xf>
    <xf numFmtId="0" fontId="3" fillId="36" borderId="0" xfId="31" applyFont="1" applyFill="1" applyAlignment="1">
      <alignment horizontal="center" vertical="center"/>
    </xf>
    <xf numFmtId="0" fontId="53" fillId="36" borderId="33" xfId="31" applyFill="1" applyBorder="1"/>
    <xf numFmtId="0" fontId="53" fillId="36" borderId="34" xfId="31" applyFill="1" applyBorder="1"/>
    <xf numFmtId="165" fontId="53" fillId="36" borderId="66" xfId="31" applyNumberFormat="1" applyFill="1" applyBorder="1"/>
    <xf numFmtId="0" fontId="17" fillId="35" borderId="122" xfId="0" applyFont="1" applyFill="1" applyBorder="1" applyAlignment="1" applyProtection="1">
      <alignment horizontal="center" vertical="center" wrapText="1"/>
      <protection locked="0"/>
    </xf>
    <xf numFmtId="0" fontId="17" fillId="35" borderId="129" xfId="0" applyFont="1" applyFill="1" applyBorder="1" applyAlignment="1" applyProtection="1">
      <alignment horizontal="left" vertical="center" wrapText="1"/>
      <protection locked="0"/>
    </xf>
    <xf numFmtId="0" fontId="17" fillId="35" borderId="129" xfId="0" applyFont="1" applyFill="1" applyBorder="1" applyAlignment="1" applyProtection="1">
      <alignment vertical="center" wrapText="1"/>
      <protection locked="0"/>
    </xf>
    <xf numFmtId="0" fontId="17" fillId="35" borderId="129" xfId="0" applyFont="1" applyFill="1" applyBorder="1" applyAlignment="1" applyProtection="1">
      <alignment horizontal="center" vertical="center" wrapText="1"/>
      <protection locked="0"/>
    </xf>
    <xf numFmtId="167" fontId="17" fillId="35" borderId="129" xfId="0" applyNumberFormat="1" applyFont="1" applyFill="1" applyBorder="1" applyAlignment="1" applyProtection="1">
      <alignment vertical="center" wrapText="1"/>
      <protection locked="0"/>
    </xf>
    <xf numFmtId="165" fontId="17" fillId="35" borderId="129" xfId="0" applyNumberFormat="1" applyFont="1" applyFill="1" applyBorder="1" applyAlignment="1" applyProtection="1">
      <alignment vertical="center" wrapText="1"/>
      <protection locked="0"/>
    </xf>
    <xf numFmtId="0" fontId="0" fillId="0" borderId="0" xfId="132" applyFont="1"/>
    <xf numFmtId="0" fontId="9" fillId="0" borderId="0" xfId="132" applyFont="1" applyAlignment="1">
      <alignment horizontal="center"/>
    </xf>
    <xf numFmtId="0" fontId="3" fillId="0" borderId="0" xfId="132" applyFont="1"/>
    <xf numFmtId="0" fontId="12" fillId="0" borderId="0" xfId="132" applyFont="1" applyAlignment="1">
      <alignment horizontal="left"/>
    </xf>
    <xf numFmtId="0" fontId="0" fillId="0" borderId="130" xfId="0" applyBorder="1"/>
    <xf numFmtId="0" fontId="0" fillId="0" borderId="135" xfId="0" applyBorder="1"/>
    <xf numFmtId="0" fontId="0" fillId="0" borderId="136" xfId="0" applyBorder="1"/>
    <xf numFmtId="0" fontId="0" fillId="0" borderId="43" xfId="0" applyBorder="1"/>
    <xf numFmtId="0" fontId="79" fillId="0" borderId="133" xfId="132" applyFont="1" applyBorder="1" applyAlignment="1">
      <alignment horizontal="center" vertical="center"/>
    </xf>
    <xf numFmtId="10" fontId="79" fillId="0" borderId="133" xfId="132" applyNumberFormat="1" applyFont="1" applyBorder="1" applyAlignment="1">
      <alignment horizontal="center" vertical="center"/>
    </xf>
    <xf numFmtId="0" fontId="0" fillId="0" borderId="138" xfId="0" applyBorder="1"/>
    <xf numFmtId="10" fontId="79" fillId="0" borderId="133" xfId="132" applyNumberFormat="1" applyFont="1" applyBorder="1" applyAlignment="1">
      <alignment horizontal="center" vertical="center" wrapText="1"/>
    </xf>
    <xf numFmtId="0" fontId="79" fillId="0" borderId="133" xfId="132" applyFont="1" applyBorder="1" applyAlignment="1">
      <alignment horizontal="center" vertical="center" wrapText="1"/>
    </xf>
    <xf numFmtId="0" fontId="79" fillId="48" borderId="133" xfId="132" applyFont="1" applyFill="1" applyBorder="1" applyAlignment="1">
      <alignment horizontal="center" vertical="center" wrapText="1"/>
    </xf>
    <xf numFmtId="10" fontId="78" fillId="48" borderId="133" xfId="132" applyNumberFormat="1" applyFont="1" applyFill="1" applyBorder="1" applyAlignment="1">
      <alignment horizontal="center" vertical="center"/>
    </xf>
    <xf numFmtId="0" fontId="0" fillId="0" borderId="35" xfId="0" applyBorder="1"/>
    <xf numFmtId="0" fontId="0" fillId="0" borderId="139" xfId="0" applyBorder="1"/>
    <xf numFmtId="0" fontId="0" fillId="0" borderId="140" xfId="0" applyBorder="1"/>
    <xf numFmtId="0" fontId="80" fillId="0" borderId="0" xfId="132" applyFont="1" applyAlignment="1">
      <alignment horizontal="right" vertical="center"/>
    </xf>
    <xf numFmtId="0" fontId="0" fillId="0" borderId="0" xfId="132" applyFont="1" applyAlignment="1">
      <alignment horizontal="center" vertical="top"/>
    </xf>
    <xf numFmtId="0" fontId="82" fillId="0" borderId="0" xfId="0" applyFont="1" applyAlignment="1">
      <alignment horizontal="right" vertical="center"/>
    </xf>
    <xf numFmtId="0" fontId="82" fillId="0" borderId="0" xfId="0" applyFont="1" applyAlignment="1">
      <alignment horizontal="left" vertical="center"/>
    </xf>
    <xf numFmtId="10" fontId="0" fillId="0" borderId="0" xfId="132" applyNumberFormat="1" applyFont="1" applyAlignment="1">
      <alignment horizontal="center" vertical="top"/>
    </xf>
    <xf numFmtId="0" fontId="82" fillId="0" borderId="0" xfId="0" applyFont="1" applyAlignment="1">
      <alignment horizontal="center" vertical="top"/>
    </xf>
    <xf numFmtId="0" fontId="84" fillId="0" borderId="0" xfId="132" applyFont="1" applyAlignment="1">
      <alignment horizontal="center" vertical="top"/>
    </xf>
    <xf numFmtId="178" fontId="0" fillId="0" borderId="141" xfId="132" applyNumberFormat="1" applyFont="1" applyBorder="1"/>
    <xf numFmtId="179" fontId="0" fillId="0" borderId="0" xfId="132" applyNumberFormat="1" applyFont="1"/>
    <xf numFmtId="0" fontId="3" fillId="0" borderId="142" xfId="132" applyFont="1" applyBorder="1" applyAlignment="1">
      <alignment horizontal="left"/>
    </xf>
    <xf numFmtId="0" fontId="0" fillId="0" borderId="142" xfId="132" applyFont="1" applyBorder="1"/>
    <xf numFmtId="0" fontId="79" fillId="0" borderId="0" xfId="132" applyFont="1"/>
    <xf numFmtId="0" fontId="3" fillId="0" borderId="0" xfId="135" applyFont="1" applyAlignment="1">
      <alignment horizontal="left" vertical="top"/>
    </xf>
    <xf numFmtId="0" fontId="0" fillId="0" borderId="0" xfId="132" applyFont="1" applyAlignment="1">
      <alignment vertical="top"/>
    </xf>
    <xf numFmtId="177" fontId="0" fillId="0" borderId="0" xfId="132" applyNumberFormat="1" applyFont="1"/>
    <xf numFmtId="0" fontId="86" fillId="0" borderId="0" xfId="0" applyFont="1"/>
    <xf numFmtId="0" fontId="85" fillId="0" borderId="0" xfId="0" applyFont="1"/>
    <xf numFmtId="0" fontId="87" fillId="0" borderId="0" xfId="0" applyFont="1"/>
    <xf numFmtId="10" fontId="79" fillId="45" borderId="133" xfId="132" applyNumberFormat="1" applyFont="1" applyFill="1" applyBorder="1" applyAlignment="1" applyProtection="1">
      <alignment horizontal="center" vertical="center"/>
      <protection locked="0"/>
    </xf>
    <xf numFmtId="0" fontId="85" fillId="0" borderId="0" xfId="0" applyFont="1" applyAlignment="1">
      <alignment vertical="center"/>
    </xf>
    <xf numFmtId="177" fontId="0" fillId="0" borderId="0" xfId="132" applyNumberFormat="1" applyFont="1" applyAlignment="1">
      <alignment vertical="top"/>
    </xf>
    <xf numFmtId="0" fontId="20" fillId="0" borderId="27" xfId="0" applyFont="1" applyBorder="1" applyAlignment="1">
      <alignment horizontal="left" vertical="center" wrapText="1"/>
    </xf>
    <xf numFmtId="0" fontId="20" fillId="0" borderId="28" xfId="0" applyFont="1" applyBorder="1" applyAlignment="1">
      <alignment horizontal="left" vertical="center" wrapText="1"/>
    </xf>
    <xf numFmtId="0" fontId="21" fillId="33" borderId="27" xfId="0" applyFont="1" applyFill="1" applyBorder="1" applyAlignment="1" applyProtection="1">
      <alignment horizontal="left" vertical="center" wrapText="1"/>
      <protection locked="0"/>
    </xf>
    <xf numFmtId="0" fontId="21" fillId="33" borderId="28" xfId="0" applyFont="1" applyFill="1" applyBorder="1" applyAlignment="1" applyProtection="1">
      <alignment horizontal="left" vertical="center" wrapText="1"/>
      <protection locked="0"/>
    </xf>
    <xf numFmtId="0" fontId="2" fillId="0" borderId="0" xfId="0" applyFont="1" applyAlignment="1">
      <alignment horizontal="center" vertical="center"/>
    </xf>
    <xf numFmtId="0" fontId="0" fillId="0" borderId="0" xfId="0" applyAlignment="1">
      <alignment horizontal="center" vertical="center"/>
    </xf>
    <xf numFmtId="0" fontId="4" fillId="33" borderId="93" xfId="0" applyFont="1" applyFill="1" applyBorder="1" applyAlignment="1">
      <alignment horizontal="center" vertical="center" wrapText="1"/>
    </xf>
    <xf numFmtId="0" fontId="4" fillId="33" borderId="94" xfId="0" applyFont="1" applyFill="1" applyBorder="1" applyAlignment="1">
      <alignment horizontal="center" vertical="center" wrapText="1"/>
    </xf>
    <xf numFmtId="0" fontId="5" fillId="0" borderId="0" xfId="0" applyFont="1" applyAlignment="1">
      <alignment horizontal="center" vertical="center" wrapText="1"/>
    </xf>
    <xf numFmtId="0" fontId="0" fillId="0" borderId="32" xfId="0" applyBorder="1" applyAlignment="1">
      <alignment horizontal="center" vertical="center"/>
    </xf>
    <xf numFmtId="0" fontId="23" fillId="0" borderId="100" xfId="0" applyFont="1" applyBorder="1" applyAlignment="1">
      <alignment horizontal="center" vertical="distributed"/>
    </xf>
    <xf numFmtId="0" fontId="23" fillId="0" borderId="101" xfId="0" applyFont="1" applyBorder="1" applyAlignment="1">
      <alignment horizontal="center" vertical="distributed"/>
    </xf>
    <xf numFmtId="0" fontId="23" fillId="0" borderId="102" xfId="0" applyFont="1" applyBorder="1" applyAlignment="1">
      <alignment horizontal="center" vertical="distributed"/>
    </xf>
    <xf numFmtId="0" fontId="22" fillId="0" borderId="103" xfId="0" applyFont="1" applyBorder="1" applyAlignment="1">
      <alignment horizontal="left" vertical="distributed"/>
    </xf>
    <xf numFmtId="0" fontId="22" fillId="0" borderId="16" xfId="0" applyFont="1" applyBorder="1" applyAlignment="1">
      <alignment horizontal="left" vertical="distributed"/>
    </xf>
    <xf numFmtId="0" fontId="22" fillId="0" borderId="20" xfId="0" applyFont="1" applyBorder="1" applyAlignment="1">
      <alignment horizontal="left" vertical="distributed"/>
    </xf>
    <xf numFmtId="0" fontId="22" fillId="0" borderId="24" xfId="0" applyFont="1" applyBorder="1" applyAlignment="1">
      <alignment horizontal="left" vertical="distributed"/>
    </xf>
    <xf numFmtId="0" fontId="22" fillId="0" borderId="17" xfId="0" applyFont="1" applyBorder="1" applyAlignment="1">
      <alignment horizontal="left" vertical="distributed"/>
    </xf>
    <xf numFmtId="0" fontId="22" fillId="0" borderId="24" xfId="0" applyFont="1" applyBorder="1" applyAlignment="1">
      <alignment horizontal="center" vertical="distributed"/>
    </xf>
    <xf numFmtId="0" fontId="22" fillId="0" borderId="17" xfId="0" applyFont="1" applyBorder="1" applyAlignment="1">
      <alignment horizontal="center" vertical="distributed"/>
    </xf>
    <xf numFmtId="0" fontId="3" fillId="33" borderId="37" xfId="0" applyFont="1" applyFill="1" applyBorder="1" applyAlignment="1">
      <alignment horizontal="center" vertical="center"/>
    </xf>
    <xf numFmtId="0" fontId="3" fillId="33" borderId="38" xfId="0" applyFont="1" applyFill="1" applyBorder="1" applyAlignment="1">
      <alignment horizontal="center" vertical="center"/>
    </xf>
    <xf numFmtId="0" fontId="22" fillId="0" borderId="76" xfId="0" applyFont="1" applyBorder="1" applyAlignment="1">
      <alignment horizontal="center" vertical="distributed"/>
    </xf>
    <xf numFmtId="0" fontId="22" fillId="0" borderId="96" xfId="0" applyFont="1" applyBorder="1" applyAlignment="1">
      <alignment horizontal="center" vertical="distributed"/>
    </xf>
    <xf numFmtId="0" fontId="22" fillId="0" borderId="77" xfId="0" applyFont="1" applyBorder="1" applyAlignment="1">
      <alignment horizontal="center" vertical="distributed"/>
    </xf>
    <xf numFmtId="0" fontId="22" fillId="0" borderId="97" xfId="0" applyFont="1" applyBorder="1" applyAlignment="1">
      <alignment horizontal="center" vertical="distributed"/>
    </xf>
    <xf numFmtId="0" fontId="3" fillId="0" borderId="31" xfId="0" applyFont="1" applyBorder="1" applyAlignment="1">
      <alignment horizontal="center" vertical="center" wrapText="1"/>
    </xf>
    <xf numFmtId="0" fontId="3" fillId="0" borderId="0" xfId="0" applyFont="1" applyAlignment="1">
      <alignment horizontal="center" vertical="center" wrapText="1"/>
    </xf>
    <xf numFmtId="0" fontId="3" fillId="0" borderId="63" xfId="0" applyFont="1" applyBorder="1" applyAlignment="1">
      <alignment horizontal="center" vertical="center" wrapText="1"/>
    </xf>
    <xf numFmtId="0" fontId="22" fillId="0" borderId="95" xfId="0" applyFont="1" applyBorder="1" applyAlignment="1">
      <alignment horizontal="left" vertical="distributed"/>
    </xf>
    <xf numFmtId="0" fontId="22" fillId="0" borderId="25" xfId="0" applyFont="1" applyBorder="1" applyAlignment="1">
      <alignment horizontal="left" vertical="distributed"/>
    </xf>
    <xf numFmtId="0" fontId="21" fillId="0" borderId="107" xfId="0" applyFont="1" applyBorder="1" applyAlignment="1">
      <alignment horizontal="left" vertical="distributed"/>
    </xf>
    <xf numFmtId="0" fontId="21" fillId="0" borderId="18" xfId="0" applyFont="1" applyBorder="1" applyAlignment="1">
      <alignment horizontal="left" vertical="distributed"/>
    </xf>
    <xf numFmtId="0" fontId="21" fillId="0" borderId="65" xfId="0" applyFont="1" applyBorder="1" applyAlignment="1">
      <alignment horizontal="left" vertical="distributed"/>
    </xf>
    <xf numFmtId="49" fontId="29" fillId="0" borderId="59" xfId="0" applyNumberFormat="1" applyFont="1" applyBorder="1" applyAlignment="1">
      <alignment horizontal="center" vertical="center" wrapText="1"/>
    </xf>
    <xf numFmtId="49" fontId="29" fillId="0" borderId="43" xfId="0" applyNumberFormat="1" applyFont="1" applyBorder="1" applyAlignment="1">
      <alignment horizontal="center" vertical="center" wrapText="1"/>
    </xf>
    <xf numFmtId="49" fontId="29" fillId="0" borderId="35" xfId="0" applyNumberFormat="1" applyFont="1" applyBorder="1" applyAlignment="1">
      <alignment horizontal="center" vertical="center" wrapText="1"/>
    </xf>
    <xf numFmtId="49" fontId="29" fillId="0" borderId="39" xfId="0" applyNumberFormat="1" applyFont="1" applyBorder="1" applyAlignment="1">
      <alignment horizontal="center" vertical="center" wrapText="1"/>
    </xf>
    <xf numFmtId="0" fontId="29" fillId="0" borderId="76" xfId="0" applyFont="1" applyBorder="1" applyAlignment="1">
      <alignment horizontal="left" vertical="center" wrapText="1"/>
    </xf>
    <xf numFmtId="0" fontId="29" fillId="0" borderId="12" xfId="0" applyFont="1" applyBorder="1" applyAlignment="1">
      <alignment horizontal="left" vertical="center" wrapText="1"/>
    </xf>
    <xf numFmtId="0" fontId="29" fillId="0" borderId="77" xfId="0" applyFont="1" applyBorder="1" applyAlignment="1">
      <alignment horizontal="left" vertical="center" wrapText="1"/>
    </xf>
    <xf numFmtId="0" fontId="29" fillId="0" borderId="35" xfId="0" applyFont="1" applyBorder="1" applyAlignment="1">
      <alignment horizontal="left" vertical="center" wrapText="1"/>
    </xf>
    <xf numFmtId="0" fontId="29" fillId="0" borderId="32" xfId="0" applyFont="1" applyBorder="1" applyAlignment="1">
      <alignment horizontal="left" vertical="center" wrapText="1"/>
    </xf>
    <xf numFmtId="0" fontId="29" fillId="0" borderId="39" xfId="0" applyFont="1" applyBorder="1" applyAlignment="1">
      <alignment horizontal="left" vertical="center" wrapText="1"/>
    </xf>
    <xf numFmtId="0" fontId="29" fillId="0" borderId="76" xfId="0" applyFont="1" applyBorder="1" applyAlignment="1">
      <alignment horizontal="center" vertical="center" wrapText="1"/>
    </xf>
    <xf numFmtId="0" fontId="29" fillId="0" borderId="12" xfId="0" applyFont="1" applyBorder="1" applyAlignment="1">
      <alignment horizontal="center" vertical="center" wrapText="1"/>
    </xf>
    <xf numFmtId="0" fontId="29" fillId="0" borderId="77" xfId="0" applyFont="1" applyBorder="1" applyAlignment="1">
      <alignment horizontal="center" vertical="center" wrapText="1"/>
    </xf>
    <xf numFmtId="0" fontId="29" fillId="0" borderId="35" xfId="0" applyFont="1" applyBorder="1" applyAlignment="1">
      <alignment horizontal="center" vertical="center" wrapText="1"/>
    </xf>
    <xf numFmtId="0" fontId="29" fillId="0" borderId="32" xfId="0" applyFont="1" applyBorder="1" applyAlignment="1">
      <alignment horizontal="center" vertical="center" wrapText="1"/>
    </xf>
    <xf numFmtId="0" fontId="29" fillId="0" borderId="39" xfId="0" applyFont="1" applyBorder="1" applyAlignment="1">
      <alignment horizontal="center" vertical="center" wrapText="1"/>
    </xf>
    <xf numFmtId="0" fontId="12" fillId="0" borderId="76" xfId="0" applyFont="1" applyBorder="1" applyAlignment="1">
      <alignment horizontal="center" vertical="center"/>
    </xf>
    <xf numFmtId="0" fontId="12" fillId="0" borderId="77" xfId="0" applyFont="1" applyBorder="1" applyAlignment="1">
      <alignment horizontal="center" vertical="center"/>
    </xf>
    <xf numFmtId="0" fontId="12" fillId="0" borderId="35" xfId="0" applyFont="1" applyBorder="1" applyAlignment="1">
      <alignment horizontal="center" vertical="center"/>
    </xf>
    <xf numFmtId="0" fontId="12" fillId="0" borderId="39" xfId="0" applyFont="1" applyBorder="1" applyAlignment="1">
      <alignment horizontal="center" vertical="center"/>
    </xf>
    <xf numFmtId="0" fontId="29" fillId="0" borderId="24" xfId="0" applyFont="1" applyBorder="1" applyAlignment="1">
      <alignment horizontal="left" vertical="center" wrapText="1"/>
    </xf>
    <xf numFmtId="0" fontId="29" fillId="0" borderId="16" xfId="0" applyFont="1" applyBorder="1" applyAlignment="1">
      <alignment horizontal="left" vertical="center" wrapText="1"/>
    </xf>
    <xf numFmtId="0" fontId="29" fillId="0" borderId="20" xfId="0" applyFont="1" applyBorder="1" applyAlignment="1">
      <alignment horizontal="left" vertical="center" wrapText="1"/>
    </xf>
    <xf numFmtId="0" fontId="29" fillId="0" borderId="24" xfId="0" applyFont="1" applyBorder="1" applyAlignment="1">
      <alignment vertical="center" wrapText="1"/>
    </xf>
    <xf numFmtId="0" fontId="29" fillId="0" borderId="16" xfId="0" applyFont="1" applyBorder="1" applyAlignment="1">
      <alignment vertical="center" wrapText="1"/>
    </xf>
    <xf numFmtId="0" fontId="29" fillId="0" borderId="20" xfId="0" applyFont="1" applyBorder="1" applyAlignment="1">
      <alignment vertical="center" wrapText="1"/>
    </xf>
    <xf numFmtId="0" fontId="31" fillId="37" borderId="24" xfId="0" applyFont="1" applyFill="1" applyBorder="1" applyAlignment="1">
      <alignment horizontal="center" vertical="top" wrapText="1"/>
    </xf>
    <xf numFmtId="0" fontId="31" fillId="37" borderId="16" xfId="0" applyFont="1" applyFill="1" applyBorder="1" applyAlignment="1">
      <alignment horizontal="center" vertical="top" wrapText="1"/>
    </xf>
    <xf numFmtId="0" fontId="31" fillId="37" borderId="20" xfId="0" applyFont="1" applyFill="1" applyBorder="1" applyAlignment="1">
      <alignment horizontal="center" vertical="top" wrapText="1"/>
    </xf>
    <xf numFmtId="0" fontId="28" fillId="0" borderId="76" xfId="0" applyFont="1" applyBorder="1" applyAlignment="1">
      <alignment horizontal="left" vertical="center" wrapText="1"/>
    </xf>
    <xf numFmtId="0" fontId="28" fillId="0" borderId="12" xfId="0" applyFont="1" applyBorder="1" applyAlignment="1">
      <alignment horizontal="left" vertical="center" wrapText="1"/>
    </xf>
    <xf numFmtId="0" fontId="28" fillId="0" borderId="77" xfId="0" applyFont="1" applyBorder="1" applyAlignment="1">
      <alignment horizontal="left" vertical="center" wrapText="1"/>
    </xf>
    <xf numFmtId="0" fontId="28" fillId="0" borderId="35" xfId="0" applyFont="1" applyBorder="1" applyAlignment="1">
      <alignment horizontal="left" vertical="center" wrapText="1"/>
    </xf>
    <xf numFmtId="0" fontId="28" fillId="0" borderId="32" xfId="0" applyFont="1" applyBorder="1" applyAlignment="1">
      <alignment horizontal="left" vertical="center" wrapText="1"/>
    </xf>
    <xf numFmtId="0" fontId="28" fillId="0" borderId="39" xfId="0" applyFont="1" applyBorder="1" applyAlignment="1">
      <alignment horizontal="left" vertical="center" wrapText="1"/>
    </xf>
    <xf numFmtId="0" fontId="25" fillId="0" borderId="76" xfId="0" applyFont="1" applyBorder="1" applyAlignment="1">
      <alignment horizontal="center" vertical="center" wrapText="1"/>
    </xf>
    <xf numFmtId="0" fontId="25" fillId="0" borderId="12" xfId="0" applyFont="1" applyBorder="1" applyAlignment="1">
      <alignment horizontal="center" vertical="center" wrapText="1"/>
    </xf>
    <xf numFmtId="0" fontId="25" fillId="0" borderId="77" xfId="0" applyFont="1" applyBorder="1" applyAlignment="1">
      <alignment horizontal="center" vertical="center" wrapText="1"/>
    </xf>
    <xf numFmtId="0" fontId="30" fillId="0" borderId="76" xfId="0" applyFont="1" applyBorder="1" applyAlignment="1">
      <alignment horizontal="center" vertical="center" wrapText="1"/>
    </xf>
    <xf numFmtId="0" fontId="30" fillId="0" borderId="77" xfId="0" applyFont="1" applyBorder="1" applyAlignment="1">
      <alignment horizontal="center" vertical="center" wrapText="1"/>
    </xf>
    <xf numFmtId="0" fontId="30" fillId="0" borderId="76" xfId="0" applyFont="1" applyBorder="1" applyAlignment="1">
      <alignment vertical="center" wrapText="1"/>
    </xf>
    <xf numFmtId="0" fontId="30" fillId="0" borderId="12" xfId="0" applyFont="1" applyBorder="1" applyAlignment="1">
      <alignment vertical="center" wrapText="1"/>
    </xf>
    <xf numFmtId="0" fontId="30" fillId="0" borderId="77" xfId="0" applyFont="1" applyBorder="1" applyAlignment="1">
      <alignment vertical="center" wrapText="1"/>
    </xf>
    <xf numFmtId="49" fontId="29" fillId="0" borderId="32" xfId="0" applyNumberFormat="1" applyFont="1" applyBorder="1" applyAlignment="1">
      <alignment horizontal="center" vertical="center" wrapText="1"/>
    </xf>
    <xf numFmtId="0" fontId="25" fillId="37" borderId="78" xfId="0" applyFont="1" applyFill="1" applyBorder="1" applyAlignment="1">
      <alignment horizontal="center" vertical="center" wrapText="1"/>
    </xf>
    <xf numFmtId="0" fontId="25" fillId="37" borderId="26" xfId="0" applyFont="1" applyFill="1" applyBorder="1" applyAlignment="1">
      <alignment horizontal="center" vertical="center" wrapText="1"/>
    </xf>
    <xf numFmtId="0" fontId="25" fillId="37" borderId="76" xfId="0" applyFont="1" applyFill="1" applyBorder="1" applyAlignment="1">
      <alignment horizontal="center" vertical="center" wrapText="1"/>
    </xf>
    <xf numFmtId="0" fontId="25" fillId="37" borderId="12" xfId="0" applyFont="1" applyFill="1" applyBorder="1" applyAlignment="1">
      <alignment horizontal="center" vertical="center" wrapText="1"/>
    </xf>
    <xf numFmtId="0" fontId="25" fillId="37" borderId="77" xfId="0" applyFont="1" applyFill="1" applyBorder="1" applyAlignment="1">
      <alignment horizontal="center" vertical="center" wrapText="1"/>
    </xf>
    <xf numFmtId="0" fontId="25" fillId="37" borderId="35" xfId="0" applyFont="1" applyFill="1" applyBorder="1" applyAlignment="1">
      <alignment horizontal="center" vertical="center" wrapText="1"/>
    </xf>
    <xf numFmtId="0" fontId="25" fillId="37" borderId="32" xfId="0" applyFont="1" applyFill="1" applyBorder="1" applyAlignment="1">
      <alignment horizontal="center" vertical="center" wrapText="1"/>
    </xf>
    <xf numFmtId="0" fontId="25" fillId="37" borderId="39" xfId="0" applyFont="1" applyFill="1" applyBorder="1" applyAlignment="1">
      <alignment horizontal="center" vertical="center" wrapText="1"/>
    </xf>
    <xf numFmtId="0" fontId="25" fillId="37" borderId="24" xfId="0" applyFont="1" applyFill="1" applyBorder="1" applyAlignment="1">
      <alignment horizontal="center" vertical="center" wrapText="1"/>
    </xf>
    <xf numFmtId="0" fontId="25" fillId="37" borderId="16" xfId="0" applyFont="1" applyFill="1" applyBorder="1" applyAlignment="1">
      <alignment horizontal="center" vertical="center" wrapText="1"/>
    </xf>
    <xf numFmtId="0" fontId="25" fillId="37" borderId="20" xfId="0" applyFont="1" applyFill="1" applyBorder="1" applyAlignment="1">
      <alignment horizontal="center" vertical="center" wrapText="1"/>
    </xf>
    <xf numFmtId="14" fontId="29" fillId="0" borderId="76" xfId="0" applyNumberFormat="1" applyFont="1" applyBorder="1" applyAlignment="1">
      <alignment horizontal="center" vertical="center" wrapText="1"/>
    </xf>
    <xf numFmtId="0" fontId="28" fillId="0" borderId="76" xfId="0" applyFont="1" applyBorder="1" applyAlignment="1">
      <alignment horizontal="center" vertical="center" wrapText="1"/>
    </xf>
    <xf numFmtId="0" fontId="28" fillId="0" borderId="77" xfId="0" applyFont="1" applyBorder="1" applyAlignment="1">
      <alignment horizontal="center" vertical="center" wrapText="1"/>
    </xf>
    <xf numFmtId="44" fontId="25" fillId="37" borderId="78" xfId="0" applyNumberFormat="1" applyFont="1" applyFill="1" applyBorder="1" applyAlignment="1">
      <alignment horizontal="center" vertical="center" wrapText="1"/>
    </xf>
    <xf numFmtId="44" fontId="25" fillId="37" borderId="26" xfId="0" applyNumberFormat="1" applyFont="1" applyFill="1" applyBorder="1" applyAlignment="1">
      <alignment horizontal="center" vertical="center" wrapText="1"/>
    </xf>
    <xf numFmtId="0" fontId="25" fillId="37" borderId="24" xfId="0" applyFont="1" applyFill="1" applyBorder="1" applyAlignment="1">
      <alignment horizontal="center" wrapText="1"/>
    </xf>
    <xf numFmtId="0" fontId="25" fillId="37" borderId="16" xfId="0" applyFont="1" applyFill="1" applyBorder="1" applyAlignment="1">
      <alignment horizontal="center" wrapText="1"/>
    </xf>
    <xf numFmtId="0" fontId="25" fillId="37" borderId="20" xfId="0" applyFont="1" applyFill="1" applyBorder="1" applyAlignment="1">
      <alignment horizontal="center" wrapText="1"/>
    </xf>
    <xf numFmtId="165" fontId="20" fillId="0" borderId="27" xfId="0" applyNumberFormat="1" applyFont="1" applyBorder="1" applyAlignment="1">
      <alignment horizontal="center" vertical="center" wrapText="1"/>
    </xf>
    <xf numFmtId="165" fontId="20" fillId="0" borderId="67" xfId="0" applyNumberFormat="1" applyFont="1" applyBorder="1" applyAlignment="1">
      <alignment horizontal="center" vertical="center" wrapText="1"/>
    </xf>
    <xf numFmtId="165" fontId="29" fillId="0" borderId="35" xfId="0" applyNumberFormat="1" applyFont="1" applyBorder="1" applyAlignment="1">
      <alignment horizontal="center" vertical="center" wrapText="1"/>
    </xf>
    <xf numFmtId="165" fontId="29" fillId="0" borderId="39" xfId="0" applyNumberFormat="1" applyFont="1" applyBorder="1" applyAlignment="1">
      <alignment horizontal="center" vertical="center" wrapText="1"/>
    </xf>
    <xf numFmtId="165" fontId="28" fillId="0" borderId="35" xfId="0" applyNumberFormat="1" applyFont="1" applyBorder="1" applyAlignment="1">
      <alignment horizontal="center" vertical="center" wrapText="1"/>
    </xf>
    <xf numFmtId="165" fontId="28" fillId="0" borderId="39" xfId="0" applyNumberFormat="1" applyFont="1" applyBorder="1" applyAlignment="1">
      <alignment horizontal="center" vertical="center" wrapText="1"/>
    </xf>
    <xf numFmtId="165" fontId="12" fillId="0" borderId="35" xfId="0" applyNumberFormat="1" applyFont="1" applyBorder="1" applyAlignment="1">
      <alignment horizontal="center" vertical="center" wrapText="1"/>
    </xf>
    <xf numFmtId="165" fontId="12" fillId="0" borderId="39" xfId="0" applyNumberFormat="1" applyFont="1" applyBorder="1" applyAlignment="1">
      <alignment horizontal="center" vertical="center" wrapText="1"/>
    </xf>
    <xf numFmtId="0" fontId="20" fillId="0" borderId="41" xfId="0" applyFont="1" applyBorder="1" applyAlignment="1">
      <alignment horizontal="left" vertical="center" wrapText="1"/>
    </xf>
    <xf numFmtId="2" fontId="20" fillId="0" borderId="27" xfId="0" applyNumberFormat="1" applyFont="1" applyBorder="1" applyAlignment="1">
      <alignment horizontal="center" vertical="center" wrapText="1"/>
    </xf>
    <xf numFmtId="2" fontId="20" fillId="0" borderId="41" xfId="0" applyNumberFormat="1" applyFont="1" applyBorder="1" applyAlignment="1">
      <alignment horizontal="center" vertical="center" wrapText="1"/>
    </xf>
    <xf numFmtId="2" fontId="20" fillId="0" borderId="28" xfId="0" applyNumberFormat="1" applyFont="1" applyBorder="1" applyAlignment="1">
      <alignment horizontal="center" vertical="center" wrapText="1"/>
    </xf>
    <xf numFmtId="165" fontId="20" fillId="0" borderId="28" xfId="0" applyNumberFormat="1" applyFont="1" applyBorder="1" applyAlignment="1">
      <alignment horizontal="center" vertical="center" wrapText="1"/>
    </xf>
    <xf numFmtId="165" fontId="7" fillId="33" borderId="41" xfId="0" applyNumberFormat="1" applyFont="1" applyFill="1" applyBorder="1" applyAlignment="1">
      <alignment horizontal="center"/>
    </xf>
    <xf numFmtId="165" fontId="7" fillId="33" borderId="67" xfId="0" applyNumberFormat="1" applyFont="1" applyFill="1" applyBorder="1" applyAlignment="1">
      <alignment horizontal="center"/>
    </xf>
    <xf numFmtId="165" fontId="20" fillId="33" borderId="41" xfId="0" applyNumberFormat="1" applyFont="1" applyFill="1" applyBorder="1" applyAlignment="1">
      <alignment horizontal="center" vertical="center" wrapText="1"/>
    </xf>
    <xf numFmtId="165" fontId="20" fillId="33" borderId="67" xfId="0" applyNumberFormat="1" applyFont="1" applyFill="1" applyBorder="1" applyAlignment="1">
      <alignment horizontal="center" vertical="center" wrapText="1"/>
    </xf>
    <xf numFmtId="165" fontId="20" fillId="0" borderId="79" xfId="0" applyNumberFormat="1" applyFont="1" applyBorder="1" applyAlignment="1">
      <alignment horizontal="center" vertical="center" wrapText="1"/>
    </xf>
    <xf numFmtId="165" fontId="20" fillId="0" borderId="80" xfId="0" applyNumberFormat="1" applyFont="1" applyBorder="1" applyAlignment="1">
      <alignment horizontal="center" vertical="center" wrapText="1"/>
    </xf>
    <xf numFmtId="0" fontId="20" fillId="0" borderId="81" xfId="0" applyFont="1" applyBorder="1" applyAlignment="1">
      <alignment vertical="center" wrapText="1"/>
    </xf>
    <xf numFmtId="0" fontId="20" fillId="0" borderId="82" xfId="0" applyFont="1" applyBorder="1" applyAlignment="1">
      <alignment vertical="center" wrapText="1"/>
    </xf>
    <xf numFmtId="0" fontId="20" fillId="0" borderId="46" xfId="0" applyFont="1" applyBorder="1" applyAlignment="1">
      <alignment vertical="center" wrapText="1"/>
    </xf>
    <xf numFmtId="2" fontId="20" fillId="0" borderId="82" xfId="0" applyNumberFormat="1" applyFont="1" applyBorder="1" applyAlignment="1">
      <alignment horizontal="center" vertical="center" wrapText="1"/>
    </xf>
    <xf numFmtId="2" fontId="20" fillId="0" borderId="46" xfId="0" applyNumberFormat="1" applyFont="1" applyBorder="1" applyAlignment="1">
      <alignment horizontal="center" vertical="center" wrapText="1"/>
    </xf>
    <xf numFmtId="2" fontId="20" fillId="0" borderId="81" xfId="0" applyNumberFormat="1" applyFont="1" applyBorder="1" applyAlignment="1">
      <alignment horizontal="center" vertical="center" wrapText="1"/>
    </xf>
    <xf numFmtId="165" fontId="20" fillId="0" borderId="81" xfId="0" applyNumberFormat="1" applyFont="1" applyBorder="1" applyAlignment="1">
      <alignment horizontal="center" vertical="center" wrapText="1"/>
    </xf>
    <xf numFmtId="165" fontId="20" fillId="0" borderId="46" xfId="0" applyNumberFormat="1" applyFont="1" applyBorder="1" applyAlignment="1">
      <alignment horizontal="center" vertical="center" wrapText="1"/>
    </xf>
    <xf numFmtId="165" fontId="20" fillId="0" borderId="82" xfId="0" applyNumberFormat="1" applyFont="1" applyBorder="1" applyAlignment="1">
      <alignment horizontal="center" vertical="center" wrapText="1"/>
    </xf>
    <xf numFmtId="165" fontId="20" fillId="0" borderId="83" xfId="0" applyNumberFormat="1" applyFont="1" applyBorder="1" applyAlignment="1">
      <alignment horizontal="center" vertical="center" wrapText="1"/>
    </xf>
    <xf numFmtId="165" fontId="20" fillId="0" borderId="41" xfId="0" applyNumberFormat="1" applyFont="1" applyBorder="1" applyAlignment="1">
      <alignment horizontal="center" vertical="center" wrapText="1"/>
    </xf>
    <xf numFmtId="0" fontId="20" fillId="0" borderId="27" xfId="0" applyFont="1" applyBorder="1" applyAlignment="1">
      <alignment horizontal="left" vertical="center"/>
    </xf>
    <xf numFmtId="0" fontId="20" fillId="0" borderId="41" xfId="0" applyFont="1" applyBorder="1" applyAlignment="1">
      <alignment horizontal="left" vertical="center"/>
    </xf>
    <xf numFmtId="0" fontId="20" fillId="0" borderId="28" xfId="0" applyFont="1" applyBorder="1" applyAlignment="1">
      <alignment horizontal="left" vertical="center"/>
    </xf>
    <xf numFmtId="0" fontId="20" fillId="0" borderId="27" xfId="0" applyFont="1" applyBorder="1" applyAlignment="1">
      <alignment vertical="center" wrapText="1"/>
    </xf>
    <xf numFmtId="0" fontId="20" fillId="0" borderId="41" xfId="0" applyFont="1" applyBorder="1" applyAlignment="1">
      <alignment vertical="center" wrapText="1"/>
    </xf>
    <xf numFmtId="0" fontId="20" fillId="0" borderId="28" xfId="0" applyFont="1" applyBorder="1" applyAlignment="1">
      <alignment vertical="center" wrapText="1"/>
    </xf>
    <xf numFmtId="165" fontId="20" fillId="0" borderId="54" xfId="0" applyNumberFormat="1" applyFont="1" applyBorder="1" applyAlignment="1">
      <alignment horizontal="center" vertical="center" wrapText="1"/>
    </xf>
    <xf numFmtId="0" fontId="20" fillId="0" borderId="49" xfId="0" applyFont="1" applyBorder="1" applyAlignment="1">
      <alignment vertical="center" wrapText="1"/>
    </xf>
    <xf numFmtId="0" fontId="20" fillId="0" borderId="0" xfId="0" applyFont="1" applyAlignment="1">
      <alignment vertical="center" wrapText="1"/>
    </xf>
    <xf numFmtId="0" fontId="20" fillId="0" borderId="48" xfId="0" applyFont="1" applyBorder="1" applyAlignment="1">
      <alignment vertical="center" wrapText="1"/>
    </xf>
    <xf numFmtId="0" fontId="20" fillId="0" borderId="79" xfId="0" applyFont="1" applyBorder="1" applyAlignment="1">
      <alignment vertical="center" wrapText="1"/>
    </xf>
    <xf numFmtId="0" fontId="20" fillId="0" borderId="84" xfId="0" applyFont="1" applyBorder="1" applyAlignment="1">
      <alignment vertical="center" wrapText="1"/>
    </xf>
    <xf numFmtId="0" fontId="20" fillId="0" borderId="54" xfId="0" applyFont="1" applyBorder="1" applyAlignment="1">
      <alignment vertical="center" wrapText="1"/>
    </xf>
    <xf numFmtId="0" fontId="24" fillId="33" borderId="44" xfId="0" applyFont="1" applyFill="1" applyBorder="1" applyAlignment="1">
      <alignment horizontal="center" vertical="center" wrapText="1"/>
    </xf>
    <xf numFmtId="0" fontId="24" fillId="33" borderId="41" xfId="0" applyFont="1" applyFill="1" applyBorder="1" applyAlignment="1">
      <alignment horizontal="center" vertical="center" wrapText="1"/>
    </xf>
    <xf numFmtId="0" fontId="24" fillId="33" borderId="67" xfId="0" applyFont="1" applyFill="1" applyBorder="1" applyAlignment="1">
      <alignment horizontal="center" vertical="center" wrapText="1"/>
    </xf>
    <xf numFmtId="165" fontId="24" fillId="33" borderId="41" xfId="0" applyNumberFormat="1" applyFont="1" applyFill="1" applyBorder="1" applyAlignment="1">
      <alignment horizontal="center" vertical="center" wrapText="1"/>
    </xf>
    <xf numFmtId="165" fontId="24" fillId="33" borderId="67" xfId="0" applyNumberFormat="1" applyFont="1" applyFill="1" applyBorder="1" applyAlignment="1">
      <alignment horizontal="center" vertical="center" wrapText="1"/>
    </xf>
    <xf numFmtId="165" fontId="24" fillId="33" borderId="0" xfId="0" applyNumberFormat="1" applyFont="1" applyFill="1" applyAlignment="1">
      <alignment horizontal="center" vertical="center" wrapText="1"/>
    </xf>
    <xf numFmtId="165" fontId="24" fillId="33" borderId="43" xfId="0" applyNumberFormat="1" applyFont="1" applyFill="1" applyBorder="1" applyAlignment="1">
      <alignment horizontal="center" vertical="center" wrapText="1"/>
    </xf>
    <xf numFmtId="165" fontId="25" fillId="0" borderId="35" xfId="0" applyNumberFormat="1" applyFont="1" applyBorder="1" applyAlignment="1">
      <alignment horizontal="left" vertical="center"/>
    </xf>
    <xf numFmtId="165" fontId="25" fillId="0" borderId="32" xfId="0" applyNumberFormat="1" applyFont="1" applyBorder="1" applyAlignment="1">
      <alignment horizontal="left" vertical="center"/>
    </xf>
    <xf numFmtId="165" fontId="25" fillId="0" borderId="39" xfId="0" applyNumberFormat="1" applyFont="1" applyBorder="1" applyAlignment="1">
      <alignment horizontal="left" vertical="center"/>
    </xf>
    <xf numFmtId="0" fontId="21" fillId="33" borderId="87" xfId="0" applyFont="1" applyFill="1" applyBorder="1" applyAlignment="1" applyProtection="1">
      <alignment horizontal="left" vertical="center"/>
      <protection locked="0"/>
    </xf>
    <xf numFmtId="0" fontId="21" fillId="33" borderId="88" xfId="0" applyFont="1" applyFill="1" applyBorder="1" applyAlignment="1" applyProtection="1">
      <alignment horizontal="left" vertical="center"/>
      <protection locked="0"/>
    </xf>
    <xf numFmtId="165" fontId="21" fillId="33" borderId="88" xfId="0" applyNumberFormat="1" applyFont="1" applyFill="1" applyBorder="1" applyAlignment="1" applyProtection="1">
      <alignment horizontal="center" vertical="center"/>
      <protection locked="0"/>
    </xf>
    <xf numFmtId="0" fontId="21" fillId="33" borderId="89" xfId="0" applyFont="1" applyFill="1" applyBorder="1" applyAlignment="1" applyProtection="1">
      <alignment horizontal="center" vertical="center"/>
      <protection locked="0"/>
    </xf>
    <xf numFmtId="0" fontId="24" fillId="33" borderId="41" xfId="0" applyFont="1" applyFill="1" applyBorder="1" applyAlignment="1">
      <alignment horizontal="left" vertical="center" wrapText="1"/>
    </xf>
    <xf numFmtId="0" fontId="24" fillId="33" borderId="81" xfId="0" applyFont="1" applyFill="1" applyBorder="1" applyAlignment="1">
      <alignment vertical="center" wrapText="1"/>
    </xf>
    <xf numFmtId="0" fontId="24" fillId="33" borderId="82" xfId="0" applyFont="1" applyFill="1" applyBorder="1" applyAlignment="1">
      <alignment vertical="center" wrapText="1"/>
    </xf>
    <xf numFmtId="0" fontId="24" fillId="33" borderId="41" xfId="0" applyFont="1" applyFill="1" applyBorder="1" applyAlignment="1">
      <alignment vertical="center" wrapText="1"/>
    </xf>
    <xf numFmtId="0" fontId="24" fillId="33" borderId="28" xfId="0" applyFont="1" applyFill="1" applyBorder="1" applyAlignment="1">
      <alignment vertical="center" wrapText="1"/>
    </xf>
    <xf numFmtId="0" fontId="24" fillId="33" borderId="50" xfId="0" applyFont="1" applyFill="1" applyBorder="1" applyAlignment="1">
      <alignment vertical="center" wrapText="1"/>
    </xf>
    <xf numFmtId="0" fontId="24" fillId="33" borderId="42" xfId="0" applyFont="1" applyFill="1" applyBorder="1" applyAlignment="1">
      <alignment vertical="center" wrapText="1"/>
    </xf>
    <xf numFmtId="0" fontId="27" fillId="0" borderId="24" xfId="0" applyFont="1" applyBorder="1" applyAlignment="1">
      <alignment horizontal="center" vertical="center" wrapText="1"/>
    </xf>
    <xf numFmtId="0" fontId="27" fillId="0" borderId="16" xfId="0" applyFont="1" applyBorder="1" applyAlignment="1">
      <alignment horizontal="center" vertical="center" wrapText="1"/>
    </xf>
    <xf numFmtId="0" fontId="27" fillId="0" borderId="20" xfId="0" applyFont="1" applyBorder="1" applyAlignment="1">
      <alignment horizontal="center" vertical="center" wrapText="1"/>
    </xf>
    <xf numFmtId="0" fontId="24" fillId="33" borderId="27" xfId="0" applyFont="1" applyFill="1" applyBorder="1" applyAlignment="1">
      <alignment horizontal="left" vertical="center" wrapText="1"/>
    </xf>
    <xf numFmtId="0" fontId="25" fillId="0" borderId="85" xfId="0" applyFont="1" applyBorder="1" applyAlignment="1">
      <alignment horizontal="center" vertical="top" wrapText="1"/>
    </xf>
    <xf numFmtId="0" fontId="25" fillId="0" borderId="12" xfId="0" applyFont="1" applyBorder="1" applyAlignment="1">
      <alignment horizontal="center" vertical="top" wrapText="1"/>
    </xf>
    <xf numFmtId="0" fontId="25" fillId="0" borderId="77" xfId="0" applyFont="1" applyBorder="1" applyAlignment="1">
      <alignment horizontal="center" vertical="top" wrapText="1"/>
    </xf>
    <xf numFmtId="0" fontId="25" fillId="0" borderId="49" xfId="0" applyFont="1" applyBorder="1" applyAlignment="1">
      <alignment horizontal="center" vertical="top" wrapText="1"/>
    </xf>
    <xf numFmtId="0" fontId="25" fillId="0" borderId="0" xfId="0" applyFont="1" applyAlignment="1">
      <alignment horizontal="center" vertical="top" wrapText="1"/>
    </xf>
    <xf numFmtId="0" fontId="25" fillId="0" borderId="43" xfId="0" applyFont="1" applyBorder="1" applyAlignment="1">
      <alignment horizontal="center" vertical="top" wrapText="1"/>
    </xf>
    <xf numFmtId="0" fontId="25" fillId="0" borderId="90" xfId="0" applyFont="1" applyBorder="1" applyAlignment="1">
      <alignment horizontal="center" vertical="top" wrapText="1"/>
    </xf>
    <xf numFmtId="0" fontId="25" fillId="0" borderId="32" xfId="0" applyFont="1" applyBorder="1" applyAlignment="1">
      <alignment horizontal="center" vertical="top" wrapText="1"/>
    </xf>
    <xf numFmtId="0" fontId="25" fillId="0" borderId="39" xfId="0" applyFont="1" applyBorder="1" applyAlignment="1">
      <alignment horizontal="center" vertical="top" wrapText="1"/>
    </xf>
    <xf numFmtId="0" fontId="25" fillId="0" borderId="24" xfId="0" applyFont="1" applyBorder="1" applyAlignment="1">
      <alignment horizontal="center" vertical="center" wrapText="1"/>
    </xf>
    <xf numFmtId="0" fontId="25" fillId="0" borderId="16" xfId="0" applyFont="1" applyBorder="1" applyAlignment="1">
      <alignment horizontal="center" vertical="center" wrapText="1"/>
    </xf>
    <xf numFmtId="0" fontId="25" fillId="0" borderId="20" xfId="0" applyFont="1" applyBorder="1" applyAlignment="1">
      <alignment horizontal="center" vertical="center" wrapText="1"/>
    </xf>
    <xf numFmtId="0" fontId="25" fillId="0" borderId="76" xfId="0" applyFont="1" applyBorder="1" applyAlignment="1">
      <alignment horizontal="center" vertical="top"/>
    </xf>
    <xf numFmtId="0" fontId="25" fillId="0" borderId="77" xfId="0" applyFont="1" applyBorder="1" applyAlignment="1">
      <alignment horizontal="center" vertical="top"/>
    </xf>
    <xf numFmtId="0" fontId="25" fillId="0" borderId="59" xfId="0" applyFont="1" applyBorder="1" applyAlignment="1">
      <alignment horizontal="center" vertical="top"/>
    </xf>
    <xf numFmtId="0" fontId="25" fillId="0" borderId="43" xfId="0" applyFont="1" applyBorder="1" applyAlignment="1">
      <alignment horizontal="center" vertical="top"/>
    </xf>
    <xf numFmtId="0" fontId="25" fillId="0" borderId="35" xfId="0" applyFont="1" applyBorder="1" applyAlignment="1">
      <alignment horizontal="center" vertical="top"/>
    </xf>
    <xf numFmtId="0" fontId="25" fillId="0" borderId="39" xfId="0" applyFont="1" applyBorder="1" applyAlignment="1">
      <alignment horizontal="center" vertical="top"/>
    </xf>
    <xf numFmtId="0" fontId="14" fillId="0" borderId="76" xfId="0" applyFont="1" applyBorder="1" applyAlignment="1">
      <alignment horizontal="center" vertical="center" wrapText="1"/>
    </xf>
    <xf numFmtId="0" fontId="14" fillId="0" borderId="12" xfId="0" applyFont="1" applyBorder="1" applyAlignment="1">
      <alignment horizontal="center" vertical="center" wrapText="1"/>
    </xf>
    <xf numFmtId="0" fontId="14" fillId="0" borderId="77" xfId="0" applyFont="1" applyBorder="1" applyAlignment="1">
      <alignment horizontal="center" vertical="center" wrapText="1"/>
    </xf>
    <xf numFmtId="0" fontId="14" fillId="0" borderId="59" xfId="0" applyFont="1" applyBorder="1" applyAlignment="1">
      <alignment horizontal="center" vertical="center" wrapText="1"/>
    </xf>
    <xf numFmtId="0" fontId="14" fillId="0" borderId="0" xfId="0" applyFont="1" applyAlignment="1">
      <alignment horizontal="center" vertical="center" wrapText="1"/>
    </xf>
    <xf numFmtId="0" fontId="14" fillId="0" borderId="43" xfId="0" applyFont="1" applyBorder="1" applyAlignment="1">
      <alignment horizontal="center" vertical="center" wrapText="1"/>
    </xf>
    <xf numFmtId="0" fontId="25" fillId="0" borderId="59" xfId="0" applyFont="1" applyBorder="1" applyAlignment="1">
      <alignment horizontal="center" vertical="center" wrapText="1"/>
    </xf>
    <xf numFmtId="0" fontId="25" fillId="0" borderId="0" xfId="0" applyFont="1" applyAlignment="1">
      <alignment horizontal="center" vertical="center" wrapText="1"/>
    </xf>
    <xf numFmtId="0" fontId="25" fillId="0" borderId="35" xfId="0" applyFont="1" applyBorder="1" applyAlignment="1">
      <alignment horizontal="center" vertical="center" wrapText="1"/>
    </xf>
    <xf numFmtId="0" fontId="25" fillId="0" borderId="32" xfId="0" applyFont="1" applyBorder="1" applyAlignment="1">
      <alignment horizontal="center" vertical="center" wrapText="1"/>
    </xf>
    <xf numFmtId="165" fontId="14" fillId="0" borderId="59" xfId="0" applyNumberFormat="1" applyFont="1" applyBorder="1" applyAlignment="1">
      <alignment horizontal="center" vertical="top" wrapText="1"/>
    </xf>
    <xf numFmtId="165" fontId="14" fillId="0" borderId="0" xfId="0" applyNumberFormat="1" applyFont="1" applyAlignment="1">
      <alignment horizontal="center" vertical="top" wrapText="1"/>
    </xf>
    <xf numFmtId="165" fontId="14" fillId="0" borderId="43" xfId="0" applyNumberFormat="1" applyFont="1" applyBorder="1" applyAlignment="1">
      <alignment horizontal="center" vertical="top" wrapText="1"/>
    </xf>
    <xf numFmtId="0" fontId="14" fillId="0" borderId="59" xfId="0" applyFont="1" applyBorder="1" applyAlignment="1">
      <alignment vertical="top" wrapText="1"/>
    </xf>
    <xf numFmtId="0" fontId="14" fillId="0" borderId="0" xfId="0" applyFont="1" applyAlignment="1">
      <alignment vertical="top" wrapText="1"/>
    </xf>
    <xf numFmtId="0" fontId="14" fillId="0" borderId="43" xfId="0" applyFont="1" applyBorder="1" applyAlignment="1">
      <alignment vertical="top" wrapText="1"/>
    </xf>
    <xf numFmtId="0" fontId="14" fillId="0" borderId="35" xfId="0" applyFont="1" applyBorder="1" applyAlignment="1">
      <alignment vertical="top" wrapText="1"/>
    </xf>
    <xf numFmtId="0" fontId="14" fillId="0" borderId="32" xfId="0" applyFont="1" applyBorder="1" applyAlignment="1">
      <alignment vertical="top" wrapText="1"/>
    </xf>
    <xf numFmtId="0" fontId="14" fillId="0" borderId="39" xfId="0" applyFont="1" applyBorder="1" applyAlignment="1">
      <alignment vertical="top" wrapText="1"/>
    </xf>
    <xf numFmtId="0" fontId="27" fillId="0" borderId="91" xfId="0" applyFont="1" applyBorder="1" applyAlignment="1">
      <alignment horizontal="center" vertical="center" wrapText="1"/>
    </xf>
    <xf numFmtId="0" fontId="25" fillId="0" borderId="85" xfId="0" applyFont="1" applyBorder="1" applyAlignment="1">
      <alignment horizontal="left" vertical="center" wrapText="1"/>
    </xf>
    <xf numFmtId="0" fontId="25" fillId="0" borderId="12" xfId="0" applyFont="1" applyBorder="1" applyAlignment="1">
      <alignment horizontal="left" vertical="center" wrapText="1"/>
    </xf>
    <xf numFmtId="0" fontId="25" fillId="0" borderId="77" xfId="0" applyFont="1" applyBorder="1" applyAlignment="1">
      <alignment horizontal="left" vertical="center" wrapText="1"/>
    </xf>
    <xf numFmtId="0" fontId="25" fillId="0" borderId="49" xfId="0" applyFont="1" applyBorder="1" applyAlignment="1">
      <alignment horizontal="left" vertical="center" wrapText="1"/>
    </xf>
    <xf numFmtId="0" fontId="25" fillId="0" borderId="0" xfId="0" applyFont="1" applyAlignment="1">
      <alignment horizontal="left" vertical="center" wrapText="1"/>
    </xf>
    <xf numFmtId="0" fontId="25" fillId="0" borderId="43" xfId="0" applyFont="1" applyBorder="1" applyAlignment="1">
      <alignment horizontal="left" vertical="center" wrapText="1"/>
    </xf>
    <xf numFmtId="0" fontId="25" fillId="0" borderId="12" xfId="0" applyFont="1" applyBorder="1" applyAlignment="1">
      <alignment vertical="top" wrapText="1"/>
    </xf>
    <xf numFmtId="0" fontId="25" fillId="0" borderId="77" xfId="0" applyFont="1" applyBorder="1" applyAlignment="1">
      <alignment vertical="top" wrapText="1"/>
    </xf>
    <xf numFmtId="0" fontId="25" fillId="0" borderId="32" xfId="0" applyFont="1" applyBorder="1" applyAlignment="1">
      <alignment vertical="top" wrapText="1"/>
    </xf>
    <xf numFmtId="0" fontId="25" fillId="0" borderId="39" xfId="0" applyFont="1" applyBorder="1" applyAlignment="1">
      <alignment vertical="top" wrapText="1"/>
    </xf>
    <xf numFmtId="165" fontId="25" fillId="0" borderId="24" xfId="0" applyNumberFormat="1" applyFont="1" applyBorder="1" applyAlignment="1">
      <alignment horizontal="left" vertical="center"/>
    </xf>
    <xf numFmtId="165" fontId="25" fillId="0" borderId="86" xfId="0" applyNumberFormat="1" applyFont="1" applyBorder="1" applyAlignment="1">
      <alignment horizontal="left" vertical="center"/>
    </xf>
    <xf numFmtId="165" fontId="25" fillId="0" borderId="16" xfId="0" applyNumberFormat="1" applyFont="1" applyBorder="1" applyAlignment="1">
      <alignment horizontal="center" vertical="center"/>
    </xf>
    <xf numFmtId="165" fontId="25" fillId="0" borderId="20" xfId="0" applyNumberFormat="1" applyFont="1" applyBorder="1" applyAlignment="1">
      <alignment horizontal="center" vertical="center"/>
    </xf>
    <xf numFmtId="0" fontId="26" fillId="0" borderId="76" xfId="0" applyFont="1" applyBorder="1" applyAlignment="1">
      <alignment horizontal="center"/>
    </xf>
    <xf numFmtId="0" fontId="26" fillId="0" borderId="12" xfId="0" applyFont="1" applyBorder="1" applyAlignment="1">
      <alignment horizontal="center"/>
    </xf>
    <xf numFmtId="0" fontId="26" fillId="0" borderId="16" xfId="0" applyFont="1" applyBorder="1" applyAlignment="1">
      <alignment horizontal="center"/>
    </xf>
    <xf numFmtId="0" fontId="26" fillId="0" borderId="20" xfId="0" applyFont="1" applyBorder="1" applyAlignment="1">
      <alignment horizontal="center"/>
    </xf>
    <xf numFmtId="0" fontId="15" fillId="0" borderId="24" xfId="0" applyFont="1" applyBorder="1" applyAlignment="1">
      <alignment horizontal="left" vertical="center" wrapText="1"/>
    </xf>
    <xf numFmtId="0" fontId="15" fillId="0" borderId="16" xfId="0" applyFont="1" applyBorder="1" applyAlignment="1">
      <alignment horizontal="left" vertical="center" wrapText="1"/>
    </xf>
    <xf numFmtId="0" fontId="15" fillId="0" borderId="76" xfId="0" applyFont="1" applyBorder="1" applyAlignment="1">
      <alignment horizontal="left" vertical="center" wrapText="1"/>
    </xf>
    <xf numFmtId="0" fontId="15" fillId="0" borderId="12" xfId="0" applyFont="1" applyBorder="1" applyAlignment="1">
      <alignment horizontal="left" vertical="center" wrapText="1"/>
    </xf>
    <xf numFmtId="0" fontId="15" fillId="0" borderId="77" xfId="0" applyFont="1" applyBorder="1" applyAlignment="1">
      <alignment horizontal="left" vertical="center" wrapText="1"/>
    </xf>
    <xf numFmtId="0" fontId="15" fillId="0" borderId="35" xfId="0" applyFont="1" applyBorder="1" applyAlignment="1">
      <alignment horizontal="left" vertical="center" wrapText="1"/>
    </xf>
    <xf numFmtId="0" fontId="15" fillId="0" borderId="32" xfId="0" applyFont="1" applyBorder="1" applyAlignment="1">
      <alignment horizontal="left" vertical="center" wrapText="1"/>
    </xf>
    <xf numFmtId="0" fontId="15" fillId="0" borderId="39" xfId="0" applyFont="1" applyBorder="1" applyAlignment="1">
      <alignment horizontal="left" vertical="center" wrapText="1"/>
    </xf>
    <xf numFmtId="0" fontId="25" fillId="0" borderId="76" xfId="0" applyFont="1" applyBorder="1" applyAlignment="1">
      <alignment horizontal="left" vertical="center" wrapText="1"/>
    </xf>
    <xf numFmtId="0" fontId="25" fillId="0" borderId="59" xfId="0" applyFont="1" applyBorder="1" applyAlignment="1">
      <alignment horizontal="left" vertical="center" wrapText="1"/>
    </xf>
    <xf numFmtId="0" fontId="25" fillId="0" borderId="76" xfId="0" applyFont="1" applyBorder="1" applyAlignment="1">
      <alignment horizontal="center" vertical="top" wrapText="1"/>
    </xf>
    <xf numFmtId="0" fontId="25" fillId="0" borderId="59" xfId="0" applyFont="1" applyBorder="1" applyAlignment="1">
      <alignment horizontal="center" vertical="top" wrapText="1"/>
    </xf>
    <xf numFmtId="0" fontId="25" fillId="0" borderId="35" xfId="0" applyFont="1" applyBorder="1" applyAlignment="1">
      <alignment horizontal="center" vertical="top" wrapText="1"/>
    </xf>
    <xf numFmtId="0" fontId="24" fillId="33" borderId="92" xfId="0" applyFont="1" applyFill="1" applyBorder="1" applyAlignment="1">
      <alignment horizontal="center" vertical="center" wrapText="1"/>
    </xf>
    <xf numFmtId="0" fontId="24" fillId="33" borderId="88" xfId="0" applyFont="1" applyFill="1" applyBorder="1" applyAlignment="1">
      <alignment horizontal="center" vertical="center" wrapText="1"/>
    </xf>
    <xf numFmtId="0" fontId="24" fillId="33" borderId="89" xfId="0" applyFont="1" applyFill="1" applyBorder="1" applyAlignment="1">
      <alignment horizontal="center" vertical="center" wrapText="1"/>
    </xf>
    <xf numFmtId="165" fontId="24" fillId="33" borderId="41" xfId="0" applyNumberFormat="1" applyFont="1" applyFill="1" applyBorder="1" applyAlignment="1">
      <alignment vertical="center" wrapText="1"/>
    </xf>
    <xf numFmtId="2" fontId="20" fillId="0" borderId="84" xfId="0" applyNumberFormat="1" applyFont="1" applyBorder="1" applyAlignment="1">
      <alignment horizontal="center" vertical="center" wrapText="1"/>
    </xf>
    <xf numFmtId="2" fontId="20" fillId="0" borderId="54" xfId="0" applyNumberFormat="1" applyFont="1" applyBorder="1" applyAlignment="1">
      <alignment horizontal="center" vertical="center" wrapText="1"/>
    </xf>
    <xf numFmtId="2" fontId="20" fillId="0" borderId="79" xfId="0" applyNumberFormat="1" applyFont="1" applyBorder="1" applyAlignment="1">
      <alignment horizontal="center" vertical="center" wrapText="1"/>
    </xf>
    <xf numFmtId="165" fontId="20" fillId="0" borderId="84" xfId="0" applyNumberFormat="1" applyFont="1" applyBorder="1" applyAlignment="1">
      <alignment horizontal="center" vertical="center" wrapText="1"/>
    </xf>
    <xf numFmtId="0" fontId="24" fillId="33" borderId="56" xfId="0" applyFont="1" applyFill="1" applyBorder="1" applyAlignment="1">
      <alignment horizontal="center" vertical="center" wrapText="1"/>
    </xf>
    <xf numFmtId="0" fontId="24" fillId="33" borderId="28" xfId="0" applyFont="1" applyFill="1" applyBorder="1" applyAlignment="1">
      <alignment horizontal="center" vertical="center" wrapText="1"/>
    </xf>
    <xf numFmtId="0" fontId="0" fillId="0" borderId="93" xfId="0" applyBorder="1" applyAlignment="1">
      <alignment horizontal="center"/>
    </xf>
    <xf numFmtId="0" fontId="0" fillId="0" borderId="99" xfId="0" applyBorder="1" applyAlignment="1">
      <alignment horizontal="center"/>
    </xf>
    <xf numFmtId="165" fontId="3" fillId="33" borderId="0" xfId="0" applyNumberFormat="1" applyFont="1" applyFill="1" applyAlignment="1">
      <alignment horizontal="center" vertical="center" wrapText="1"/>
    </xf>
    <xf numFmtId="165" fontId="3" fillId="33" borderId="34" xfId="0" applyNumberFormat="1" applyFont="1" applyFill="1" applyBorder="1" applyAlignment="1">
      <alignment horizontal="center" vertical="center" wrapText="1"/>
    </xf>
    <xf numFmtId="0" fontId="22" fillId="0" borderId="98" xfId="0" applyFont="1" applyBorder="1" applyAlignment="1">
      <alignment horizontal="left" vertical="distributed"/>
    </xf>
    <xf numFmtId="0" fontId="22" fillId="0" borderId="75" xfId="0" applyFont="1" applyBorder="1" applyAlignment="1">
      <alignment horizontal="left" vertical="distributed"/>
    </xf>
    <xf numFmtId="0" fontId="3" fillId="0" borderId="108" xfId="0" applyFont="1" applyBorder="1" applyAlignment="1">
      <alignment horizontal="center" vertical="center"/>
    </xf>
    <xf numFmtId="0" fontId="3" fillId="0" borderId="109" xfId="0" applyFont="1" applyBorder="1" applyAlignment="1">
      <alignment horizontal="center" vertical="center"/>
    </xf>
    <xf numFmtId="0" fontId="3" fillId="0" borderId="110" xfId="0" applyFont="1" applyBorder="1" applyAlignment="1">
      <alignment horizontal="center" vertical="center"/>
    </xf>
    <xf numFmtId="0" fontId="23" fillId="0" borderId="104" xfId="0" applyFont="1" applyBorder="1" applyAlignment="1">
      <alignment horizontal="center" vertical="center"/>
    </xf>
    <xf numFmtId="0" fontId="23" fillId="0" borderId="105" xfId="0" applyFont="1" applyBorder="1" applyAlignment="1">
      <alignment horizontal="center" vertical="center"/>
    </xf>
    <xf numFmtId="0" fontId="23" fillId="0" borderId="106" xfId="0" applyFont="1" applyBorder="1" applyAlignment="1">
      <alignment horizontal="center" vertical="center"/>
    </xf>
    <xf numFmtId="0" fontId="22" fillId="0" borderId="103" xfId="0" applyFont="1" applyBorder="1" applyAlignment="1">
      <alignment horizontal="left" vertical="center"/>
    </xf>
    <xf numFmtId="0" fontId="22" fillId="0" borderId="16" xfId="0" applyFont="1" applyBorder="1" applyAlignment="1">
      <alignment horizontal="left" vertical="center"/>
    </xf>
    <xf numFmtId="0" fontId="22" fillId="0" borderId="17" xfId="0" applyFont="1" applyBorder="1" applyAlignment="1">
      <alignment horizontal="left" vertical="center"/>
    </xf>
    <xf numFmtId="0" fontId="22" fillId="0" borderId="107" xfId="0" applyFont="1" applyBorder="1" applyAlignment="1">
      <alignment horizontal="left" vertical="center"/>
    </xf>
    <xf numFmtId="0" fontId="22" fillId="0" borderId="18" xfId="0" applyFont="1" applyBorder="1" applyAlignment="1">
      <alignment horizontal="left" vertical="center"/>
    </xf>
    <xf numFmtId="0" fontId="22" fillId="0" borderId="19" xfId="0" applyFont="1" applyBorder="1" applyAlignment="1">
      <alignment horizontal="left" vertical="center"/>
    </xf>
    <xf numFmtId="0" fontId="9" fillId="34" borderId="93" xfId="0" applyFont="1" applyFill="1" applyBorder="1" applyAlignment="1">
      <alignment horizontal="center"/>
    </xf>
    <xf numFmtId="0" fontId="9" fillId="34" borderId="94" xfId="0" applyFont="1" applyFill="1" applyBorder="1" applyAlignment="1">
      <alignment horizontal="center"/>
    </xf>
    <xf numFmtId="0" fontId="9" fillId="34" borderId="99" xfId="0" applyFont="1" applyFill="1" applyBorder="1" applyAlignment="1">
      <alignment horizontal="center"/>
    </xf>
    <xf numFmtId="0" fontId="3" fillId="34" borderId="93" xfId="0" applyFont="1" applyFill="1" applyBorder="1" applyAlignment="1">
      <alignment horizontal="center" vertical="center"/>
    </xf>
    <xf numFmtId="0" fontId="3" fillId="34" borderId="94" xfId="0" applyFont="1" applyFill="1" applyBorder="1" applyAlignment="1">
      <alignment horizontal="center" vertical="center"/>
    </xf>
    <xf numFmtId="0" fontId="3" fillId="34" borderId="99" xfId="0" applyFont="1" applyFill="1" applyBorder="1" applyAlignment="1">
      <alignment horizontal="center" vertical="center"/>
    </xf>
    <xf numFmtId="0" fontId="0" fillId="34" borderId="78" xfId="0" applyFill="1" applyBorder="1" applyAlignment="1">
      <alignment horizontal="left" vertical="center" wrapText="1"/>
    </xf>
    <xf numFmtId="0" fontId="0" fillId="34" borderId="21" xfId="0" applyFill="1" applyBorder="1" applyAlignment="1">
      <alignment horizontal="left" vertical="center" wrapText="1"/>
    </xf>
    <xf numFmtId="0" fontId="3" fillId="34" borderId="76" xfId="0" applyFont="1" applyFill="1" applyBorder="1" applyAlignment="1">
      <alignment horizontal="left" vertical="center" wrapText="1"/>
    </xf>
    <xf numFmtId="0" fontId="3" fillId="34" borderId="12" xfId="0" applyFont="1" applyFill="1" applyBorder="1" applyAlignment="1">
      <alignment horizontal="left" vertical="center" wrapText="1"/>
    </xf>
    <xf numFmtId="165" fontId="3" fillId="34" borderId="32" xfId="0" applyNumberFormat="1" applyFont="1" applyFill="1" applyBorder="1" applyAlignment="1">
      <alignment horizontal="left" vertical="center"/>
    </xf>
    <xf numFmtId="0" fontId="3" fillId="34" borderId="26" xfId="0" applyFont="1" applyFill="1" applyBorder="1" applyAlignment="1">
      <alignment horizontal="center" vertical="center"/>
    </xf>
    <xf numFmtId="0" fontId="3" fillId="34" borderId="111" xfId="0" applyFont="1" applyFill="1" applyBorder="1" applyAlignment="1">
      <alignment horizontal="center" vertical="center"/>
    </xf>
    <xf numFmtId="0" fontId="0" fillId="0" borderId="78" xfId="0" applyBorder="1" applyAlignment="1">
      <alignment horizontal="center" vertical="center" wrapText="1"/>
    </xf>
    <xf numFmtId="0" fontId="0" fillId="0" borderId="112" xfId="0" applyBorder="1" applyAlignment="1">
      <alignment horizontal="center" vertical="center" wrapText="1"/>
    </xf>
    <xf numFmtId="0" fontId="3" fillId="34" borderId="73" xfId="0" applyFont="1" applyFill="1" applyBorder="1" applyAlignment="1">
      <alignment horizontal="left" vertical="center"/>
    </xf>
    <xf numFmtId="0" fontId="3" fillId="34" borderId="39" xfId="0" applyFont="1" applyFill="1" applyBorder="1" applyAlignment="1">
      <alignment horizontal="left" vertical="center"/>
    </xf>
    <xf numFmtId="0" fontId="3" fillId="34" borderId="113" xfId="0" applyFont="1" applyFill="1" applyBorder="1" applyAlignment="1">
      <alignment horizontal="left" vertical="center" wrapText="1"/>
    </xf>
    <xf numFmtId="0" fontId="3" fillId="34" borderId="77" xfId="0" applyFont="1" applyFill="1" applyBorder="1" applyAlignment="1">
      <alignment horizontal="left" vertical="center" wrapText="1"/>
    </xf>
    <xf numFmtId="0" fontId="0" fillId="34" borderId="114" xfId="0" applyFill="1" applyBorder="1" applyAlignment="1">
      <alignment horizontal="center" vertical="center" wrapText="1"/>
    </xf>
    <xf numFmtId="0" fontId="0" fillId="34" borderId="115" xfId="0" applyFill="1" applyBorder="1" applyAlignment="1">
      <alignment horizontal="center" vertical="center" wrapText="1"/>
    </xf>
    <xf numFmtId="0" fontId="3" fillId="34" borderId="113" xfId="0" applyFont="1" applyFill="1" applyBorder="1" applyAlignment="1">
      <alignment horizontal="center" vertical="center" wrapText="1"/>
    </xf>
    <xf numFmtId="0" fontId="3" fillId="34" borderId="77" xfId="0" applyFont="1" applyFill="1" applyBorder="1" applyAlignment="1">
      <alignment horizontal="center" vertical="center" wrapText="1"/>
    </xf>
    <xf numFmtId="0" fontId="3" fillId="34" borderId="73" xfId="0" applyFont="1" applyFill="1" applyBorder="1" applyAlignment="1">
      <alignment horizontal="center" vertical="center" wrapText="1"/>
    </xf>
    <xf numFmtId="0" fontId="3" fillId="34" borderId="39" xfId="0" applyFont="1" applyFill="1" applyBorder="1" applyAlignment="1">
      <alignment horizontal="center" vertical="center" wrapText="1"/>
    </xf>
    <xf numFmtId="0" fontId="2" fillId="36" borderId="0" xfId="0" applyFont="1" applyFill="1" applyAlignment="1">
      <alignment horizontal="center" vertical="center"/>
    </xf>
    <xf numFmtId="0" fontId="3" fillId="36" borderId="32" xfId="0" applyFont="1" applyFill="1" applyBorder="1" applyAlignment="1">
      <alignment horizontal="center" wrapText="1"/>
    </xf>
    <xf numFmtId="0" fontId="0" fillId="36" borderId="12" xfId="0" applyFill="1" applyBorder="1" applyAlignment="1">
      <alignment horizontal="center" vertical="center" wrapText="1"/>
    </xf>
    <xf numFmtId="0" fontId="0" fillId="36" borderId="0" xfId="0" applyFill="1" applyAlignment="1">
      <alignment horizontal="center" vertical="center" wrapText="1"/>
    </xf>
    <xf numFmtId="0" fontId="3" fillId="0" borderId="78" xfId="33" applyFont="1" applyBorder="1" applyAlignment="1" applyProtection="1">
      <alignment horizontal="center" vertical="center"/>
      <protection hidden="1"/>
    </xf>
    <xf numFmtId="0" fontId="53" fillId="0" borderId="25" xfId="33" applyBorder="1" applyAlignment="1" applyProtection="1">
      <alignment horizontal="left" vertical="center"/>
      <protection hidden="1"/>
    </xf>
    <xf numFmtId="0" fontId="3" fillId="0" borderId="24" xfId="33" applyFont="1" applyBorder="1" applyAlignment="1" applyProtection="1">
      <alignment horizontal="right" vertical="center"/>
      <protection hidden="1"/>
    </xf>
    <xf numFmtId="0" fontId="3" fillId="0" borderId="20" xfId="33" applyFont="1" applyBorder="1" applyAlignment="1" applyProtection="1">
      <alignment horizontal="right" vertical="center"/>
      <protection hidden="1"/>
    </xf>
    <xf numFmtId="0" fontId="3" fillId="39" borderId="25" xfId="33" applyFont="1" applyFill="1" applyBorder="1" applyAlignment="1" applyProtection="1">
      <alignment horizontal="center" vertical="center"/>
      <protection hidden="1"/>
    </xf>
    <xf numFmtId="0" fontId="3" fillId="0" borderId="24" xfId="33" applyFont="1" applyBorder="1" applyAlignment="1" applyProtection="1">
      <alignment horizontal="center" vertical="center" wrapText="1"/>
      <protection hidden="1"/>
    </xf>
    <xf numFmtId="0" fontId="3" fillId="0" borderId="16" xfId="33" applyFont="1" applyBorder="1" applyAlignment="1" applyProtection="1">
      <alignment horizontal="center" vertical="center" wrapText="1"/>
      <protection hidden="1"/>
    </xf>
    <xf numFmtId="0" fontId="3" fillId="0" borderId="20" xfId="33" applyFont="1" applyBorder="1" applyAlignment="1" applyProtection="1">
      <alignment horizontal="center" vertical="center" wrapText="1"/>
      <protection hidden="1"/>
    </xf>
    <xf numFmtId="10" fontId="0" fillId="0" borderId="25" xfId="37" applyNumberFormat="1" applyFont="1" applyBorder="1" applyAlignment="1" applyProtection="1">
      <alignment horizontal="center" vertical="center"/>
      <protection hidden="1"/>
    </xf>
    <xf numFmtId="10" fontId="9" fillId="0" borderId="25" xfId="37" applyNumberFormat="1" applyFont="1" applyBorder="1" applyAlignment="1" applyProtection="1">
      <alignment horizontal="center" vertical="center"/>
      <protection hidden="1"/>
    </xf>
    <xf numFmtId="0" fontId="2" fillId="0" borderId="25" xfId="33" applyFont="1" applyBorder="1" applyAlignment="1" applyProtection="1">
      <alignment horizontal="left" vertical="center"/>
      <protection hidden="1"/>
    </xf>
    <xf numFmtId="0" fontId="3" fillId="39" borderId="68" xfId="33" applyFont="1" applyFill="1" applyBorder="1" applyAlignment="1" applyProtection="1">
      <alignment horizontal="center" vertical="center"/>
      <protection hidden="1"/>
    </xf>
    <xf numFmtId="0" fontId="3" fillId="39" borderId="36" xfId="33" applyFont="1" applyFill="1" applyBorder="1" applyAlignment="1" applyProtection="1">
      <alignment horizontal="center" vertical="center"/>
      <protection hidden="1"/>
    </xf>
    <xf numFmtId="0" fontId="3" fillId="39" borderId="69" xfId="33" applyFont="1" applyFill="1" applyBorder="1" applyAlignment="1" applyProtection="1">
      <alignment horizontal="center" vertical="center"/>
      <protection hidden="1"/>
    </xf>
    <xf numFmtId="0" fontId="19" fillId="0" borderId="16" xfId="33" applyFont="1" applyBorder="1" applyAlignment="1" applyProtection="1">
      <alignment horizontal="center" vertical="center"/>
      <protection hidden="1"/>
    </xf>
    <xf numFmtId="0" fontId="3" fillId="39" borderId="76" xfId="33" applyFont="1" applyFill="1" applyBorder="1" applyAlignment="1" applyProtection="1">
      <alignment horizontal="center" vertical="center"/>
      <protection hidden="1"/>
    </xf>
    <xf numFmtId="0" fontId="3" fillId="39" borderId="12" xfId="33" applyFont="1" applyFill="1" applyBorder="1" applyAlignment="1" applyProtection="1">
      <alignment horizontal="center" vertical="center"/>
      <protection hidden="1"/>
    </xf>
    <xf numFmtId="0" fontId="3" fillId="39" borderId="77" xfId="33" applyFont="1" applyFill="1" applyBorder="1" applyAlignment="1" applyProtection="1">
      <alignment horizontal="center" vertical="center"/>
      <protection hidden="1"/>
    </xf>
    <xf numFmtId="0" fontId="3" fillId="39" borderId="35" xfId="33" applyFont="1" applyFill="1" applyBorder="1" applyAlignment="1" applyProtection="1">
      <alignment horizontal="center" vertical="center"/>
      <protection hidden="1"/>
    </xf>
    <xf numFmtId="0" fontId="3" fillId="39" borderId="32" xfId="33" applyFont="1" applyFill="1" applyBorder="1" applyAlignment="1" applyProtection="1">
      <alignment horizontal="center" vertical="center"/>
      <protection hidden="1"/>
    </xf>
    <xf numFmtId="0" fontId="3" fillId="39" borderId="39" xfId="33" applyFont="1" applyFill="1" applyBorder="1" applyAlignment="1" applyProtection="1">
      <alignment horizontal="center" vertical="center"/>
      <protection hidden="1"/>
    </xf>
    <xf numFmtId="0" fontId="0" fillId="0" borderId="142" xfId="132" applyFont="1" applyBorder="1" applyAlignment="1">
      <alignment horizontal="left" vertical="center"/>
    </xf>
    <xf numFmtId="0" fontId="12" fillId="0" borderId="133" xfId="132" applyFont="1" applyBorder="1" applyAlignment="1">
      <alignment horizontal="left" vertical="center" wrapText="1"/>
    </xf>
    <xf numFmtId="49" fontId="0" fillId="45" borderId="133" xfId="132" applyNumberFormat="1" applyFont="1" applyFill="1" applyBorder="1" applyAlignment="1" applyProtection="1">
      <alignment horizontal="left" vertical="top" wrapText="1"/>
      <protection locked="0"/>
    </xf>
    <xf numFmtId="177" fontId="0" fillId="0" borderId="141" xfId="132" applyNumberFormat="1" applyFont="1" applyBorder="1" applyAlignment="1">
      <alignment horizontal="left"/>
    </xf>
    <xf numFmtId="178" fontId="0" fillId="0" borderId="141" xfId="132" applyNumberFormat="1" applyFont="1" applyBorder="1" applyAlignment="1">
      <alignment horizontal="left"/>
    </xf>
    <xf numFmtId="0" fontId="3" fillId="0" borderId="0" xfId="132" applyFont="1" applyAlignment="1">
      <alignment horizontal="left" vertical="center"/>
    </xf>
    <xf numFmtId="0" fontId="78" fillId="0" borderId="0" xfId="132" applyFont="1" applyAlignment="1">
      <alignment horizontal="left" vertical="center"/>
    </xf>
    <xf numFmtId="0" fontId="0" fillId="0" borderId="0" xfId="132" applyFont="1" applyAlignment="1">
      <alignment horizontal="center" vertical="center"/>
    </xf>
    <xf numFmtId="0" fontId="82" fillId="0" borderId="0" xfId="0" applyFont="1" applyAlignment="1">
      <alignment horizontal="right" vertical="center"/>
    </xf>
    <xf numFmtId="0" fontId="83" fillId="0" borderId="0" xfId="0" applyFont="1" applyAlignment="1">
      <alignment horizontal="center"/>
    </xf>
    <xf numFmtId="0" fontId="82" fillId="0" borderId="0" xfId="0" applyFont="1" applyAlignment="1">
      <alignment horizontal="left" vertical="center"/>
    </xf>
    <xf numFmtId="0" fontId="82" fillId="0" borderId="0" xfId="0" applyFont="1" applyAlignment="1">
      <alignment horizontal="center" vertical="top"/>
    </xf>
    <xf numFmtId="0" fontId="0" fillId="0" borderId="133" xfId="132" applyFont="1" applyBorder="1" applyAlignment="1">
      <alignment horizontal="center" vertical="center" wrapText="1"/>
    </xf>
    <xf numFmtId="4" fontId="79" fillId="0" borderId="133" xfId="132" applyNumberFormat="1" applyFont="1" applyBorder="1" applyAlignment="1">
      <alignment horizontal="center" vertical="center"/>
    </xf>
    <xf numFmtId="4" fontId="78" fillId="0" borderId="133" xfId="132" applyNumberFormat="1" applyFont="1" applyBorder="1" applyAlignment="1">
      <alignment horizontal="center" vertical="center" wrapText="1"/>
    </xf>
    <xf numFmtId="0" fontId="79" fillId="48" borderId="133" xfId="132" applyFont="1" applyFill="1" applyBorder="1" applyAlignment="1">
      <alignment horizontal="center" vertical="center" wrapText="1"/>
    </xf>
    <xf numFmtId="0" fontId="81" fillId="0" borderId="0" xfId="132" applyFont="1" applyAlignment="1">
      <alignment horizontal="left" vertical="center" indent="1"/>
    </xf>
    <xf numFmtId="0" fontId="3" fillId="0" borderId="133" xfId="132" applyFont="1" applyBorder="1" applyAlignment="1">
      <alignment horizontal="center" vertical="center"/>
    </xf>
    <xf numFmtId="0" fontId="9" fillId="0" borderId="133" xfId="132" applyFont="1" applyBorder="1" applyAlignment="1">
      <alignment horizontal="center"/>
    </xf>
    <xf numFmtId="0" fontId="3" fillId="0" borderId="131" xfId="135" applyFont="1" applyBorder="1" applyAlignment="1">
      <alignment horizontal="left" vertical="top"/>
    </xf>
    <xf numFmtId="176" fontId="12" fillId="47" borderId="132" xfId="136" applyFont="1" applyFill="1" applyBorder="1" applyAlignment="1" applyProtection="1">
      <alignment horizontal="left"/>
      <protection locked="0"/>
    </xf>
    <xf numFmtId="0" fontId="78" fillId="0" borderId="133" xfId="132" applyFont="1" applyBorder="1" applyAlignment="1">
      <alignment horizontal="center" vertical="center"/>
    </xf>
    <xf numFmtId="177" fontId="53" fillId="0" borderId="141" xfId="132" applyNumberFormat="1" applyBorder="1" applyAlignment="1">
      <alignment horizontal="left"/>
    </xf>
    <xf numFmtId="10" fontId="83" fillId="0" borderId="0" xfId="0" applyNumberFormat="1" applyFont="1" applyAlignment="1">
      <alignment horizontal="center"/>
    </xf>
    <xf numFmtId="10" fontId="82" fillId="0" borderId="0" xfId="0" applyNumberFormat="1" applyFont="1" applyAlignment="1">
      <alignment horizontal="center" vertical="top"/>
    </xf>
    <xf numFmtId="0" fontId="0" fillId="0" borderId="136" xfId="0" applyBorder="1" applyAlignment="1">
      <alignment horizontal="center"/>
    </xf>
    <xf numFmtId="0" fontId="0" fillId="0" borderId="0" xfId="0" applyAlignment="1">
      <alignment horizontal="center"/>
    </xf>
    <xf numFmtId="0" fontId="0" fillId="0" borderId="137" xfId="0" applyBorder="1" applyAlignment="1">
      <alignment horizontal="center"/>
    </xf>
    <xf numFmtId="0" fontId="53" fillId="0" borderId="133" xfId="132" applyBorder="1" applyAlignment="1">
      <alignment horizontal="center" vertical="center" wrapText="1"/>
    </xf>
    <xf numFmtId="0" fontId="0" fillId="0" borderId="134" xfId="0" applyBorder="1" applyAlignment="1">
      <alignment horizontal="center"/>
    </xf>
    <xf numFmtId="0" fontId="0" fillId="0" borderId="130" xfId="0" applyBorder="1" applyAlignment="1">
      <alignment horizontal="center"/>
    </xf>
    <xf numFmtId="0" fontId="12" fillId="0" borderId="132" xfId="136" applyNumberFormat="1" applyFont="1" applyFill="1" applyBorder="1" applyAlignment="1" applyProtection="1">
      <alignment horizontal="left" wrapText="1"/>
    </xf>
    <xf numFmtId="0" fontId="12" fillId="0" borderId="133" xfId="132" applyFont="1" applyBorder="1" applyAlignment="1">
      <alignment horizontal="left" wrapText="1"/>
    </xf>
    <xf numFmtId="10" fontId="12" fillId="45" borderId="133" xfId="132" applyNumberFormat="1" applyFont="1" applyFill="1" applyBorder="1" applyAlignment="1" applyProtection="1">
      <alignment horizontal="center"/>
      <protection locked="0"/>
    </xf>
    <xf numFmtId="0" fontId="12" fillId="0" borderId="133" xfId="132" applyFont="1" applyBorder="1" applyAlignment="1">
      <alignment horizontal="left"/>
    </xf>
    <xf numFmtId="0" fontId="0" fillId="0" borderId="131" xfId="0" applyBorder="1" applyAlignment="1">
      <alignment horizontal="center"/>
    </xf>
    <xf numFmtId="0" fontId="3" fillId="0" borderId="132" xfId="0" applyFont="1" applyBorder="1" applyAlignment="1">
      <alignment horizontal="center"/>
    </xf>
    <xf numFmtId="0" fontId="0" fillId="0" borderId="132" xfId="132" applyFont="1" applyBorder="1" applyAlignment="1">
      <alignment horizontal="left" vertical="top" wrapText="1"/>
    </xf>
    <xf numFmtId="0" fontId="3" fillId="0" borderId="78" xfId="0" applyFont="1" applyBorder="1" applyAlignment="1">
      <alignment horizontal="left" vertical="center" wrapText="1"/>
    </xf>
    <xf numFmtId="0" fontId="3" fillId="0" borderId="76" xfId="0" applyFont="1" applyBorder="1" applyAlignment="1">
      <alignment horizontal="left" vertical="center" wrapText="1"/>
    </xf>
    <xf numFmtId="0" fontId="3" fillId="0" borderId="112" xfId="0" applyFont="1" applyBorder="1" applyAlignment="1">
      <alignment horizontal="left" vertical="center" wrapText="1"/>
    </xf>
    <xf numFmtId="0" fontId="3" fillId="34" borderId="26" xfId="0" applyFont="1" applyFill="1" applyBorder="1" applyAlignment="1">
      <alignment horizontal="left" vertical="center"/>
    </xf>
    <xf numFmtId="0" fontId="3" fillId="34" borderId="35" xfId="0" applyFont="1" applyFill="1" applyBorder="1" applyAlignment="1">
      <alignment horizontal="left" vertical="center"/>
    </xf>
    <xf numFmtId="0" fontId="3" fillId="34" borderId="111" xfId="0" applyFont="1" applyFill="1" applyBorder="1" applyAlignment="1">
      <alignment horizontal="left" vertical="center"/>
    </xf>
    <xf numFmtId="0" fontId="14" fillId="36" borderId="31" xfId="0" applyFont="1" applyFill="1" applyBorder="1" applyAlignment="1">
      <alignment horizontal="left" vertical="center" wrapText="1"/>
    </xf>
    <xf numFmtId="0" fontId="14" fillId="36" borderId="0" xfId="0" applyFont="1" applyFill="1" applyAlignment="1">
      <alignment horizontal="left" vertical="center" wrapText="1"/>
    </xf>
    <xf numFmtId="0" fontId="14" fillId="36" borderId="63" xfId="0" applyFont="1" applyFill="1" applyBorder="1" applyAlignment="1">
      <alignment horizontal="left" vertical="center" wrapText="1"/>
    </xf>
    <xf numFmtId="0" fontId="75" fillId="0" borderId="93" xfId="0" applyFont="1" applyBorder="1" applyAlignment="1">
      <alignment horizontal="center" vertical="center"/>
    </xf>
    <xf numFmtId="0" fontId="75" fillId="0" borderId="94" xfId="0" applyFont="1" applyBorder="1" applyAlignment="1">
      <alignment horizontal="center" vertical="center"/>
    </xf>
    <xf numFmtId="14" fontId="76" fillId="0" borderId="37" xfId="0" applyNumberFormat="1" applyFont="1" applyBorder="1" applyAlignment="1">
      <alignment horizontal="center" vertical="center"/>
    </xf>
    <xf numFmtId="14" fontId="76" fillId="0" borderId="99" xfId="0" applyNumberFormat="1" applyFont="1" applyBorder="1" applyAlignment="1">
      <alignment horizontal="center" vertical="center"/>
    </xf>
    <xf numFmtId="0" fontId="20" fillId="0" borderId="143" xfId="0" applyFont="1" applyBorder="1" applyAlignment="1">
      <alignment horizontal="center" vertical="center" wrapText="1"/>
    </xf>
    <xf numFmtId="0" fontId="22" fillId="0" borderId="144" xfId="0" applyFont="1" applyBorder="1" applyAlignment="1">
      <alignment horizontal="left" vertical="center"/>
    </xf>
    <xf numFmtId="0" fontId="22" fillId="0" borderId="145" xfId="0" applyFont="1" applyBorder="1" applyAlignment="1">
      <alignment horizontal="left" vertical="center"/>
    </xf>
    <xf numFmtId="0" fontId="22" fillId="0" borderId="146" xfId="0" applyFont="1" applyBorder="1" applyAlignment="1">
      <alignment horizontal="left" vertical="center"/>
    </xf>
    <xf numFmtId="0" fontId="22" fillId="0" borderId="147" xfId="0" applyFont="1" applyBorder="1" applyAlignment="1">
      <alignment horizontal="left" vertical="center"/>
    </xf>
    <xf numFmtId="0" fontId="22" fillId="0" borderId="148" xfId="0" applyFont="1" applyBorder="1" applyAlignment="1">
      <alignment horizontal="left" vertical="center"/>
    </xf>
    <xf numFmtId="0" fontId="22" fillId="0" borderId="149" xfId="0" applyFont="1" applyBorder="1" applyAlignment="1">
      <alignment horizontal="left" vertical="center"/>
    </xf>
    <xf numFmtId="0" fontId="20" fillId="0" borderId="150" xfId="0" applyFont="1" applyBorder="1" applyAlignment="1">
      <alignment horizontal="center" vertical="center" wrapText="1"/>
    </xf>
    <xf numFmtId="49" fontId="20" fillId="0" borderId="151" xfId="0" applyNumberFormat="1" applyFont="1" applyBorder="1" applyAlignment="1">
      <alignment horizontal="center" vertical="center" wrapText="1"/>
    </xf>
    <xf numFmtId="0" fontId="20" fillId="0" borderId="152" xfId="0" applyFont="1" applyBorder="1" applyAlignment="1">
      <alignment horizontal="left" vertical="center" wrapText="1"/>
    </xf>
    <xf numFmtId="0" fontId="20" fillId="0" borderId="153" xfId="0" applyFont="1" applyBorder="1" applyAlignment="1">
      <alignment horizontal="left" vertical="center" wrapText="1"/>
    </xf>
    <xf numFmtId="2" fontId="20" fillId="0" borderId="151" xfId="48" applyNumberFormat="1" applyFont="1" applyFill="1" applyBorder="1" applyAlignment="1">
      <alignment horizontal="center" vertical="center" wrapText="1"/>
    </xf>
    <xf numFmtId="4" fontId="20" fillId="0" borderId="151" xfId="0" applyNumberFormat="1" applyFont="1" applyBorder="1" applyAlignment="1">
      <alignment horizontal="center" vertical="center" wrapText="1"/>
    </xf>
    <xf numFmtId="165" fontId="20" fillId="0" borderId="154" xfId="0" applyNumberFormat="1" applyFont="1" applyBorder="1" applyAlignment="1">
      <alignment horizontal="left" vertical="center" wrapText="1"/>
    </xf>
    <xf numFmtId="178" fontId="35" fillId="0" borderId="141" xfId="132" applyNumberFormat="1" applyFont="1" applyBorder="1" applyAlignment="1">
      <alignment horizontal="center"/>
    </xf>
    <xf numFmtId="0" fontId="85" fillId="0" borderId="0" xfId="132" applyFont="1" applyAlignment="1">
      <alignment horizontal="center" vertical="top"/>
    </xf>
    <xf numFmtId="0" fontId="53" fillId="0" borderId="0" xfId="132" applyFont="1" applyAlignment="1">
      <alignment horizontal="center" vertical="center"/>
    </xf>
    <xf numFmtId="0" fontId="3" fillId="0" borderId="0" xfId="135" applyFont="1" applyAlignment="1">
      <alignment horizontal="left" vertical="center"/>
    </xf>
    <xf numFmtId="0" fontId="0" fillId="0" borderId="0" xfId="132" applyFont="1" applyAlignment="1">
      <alignment vertical="center"/>
    </xf>
  </cellXfs>
  <cellStyles count="137">
    <cellStyle name="20% - Ênfase1" xfId="1" xr:uid="{00000000-0005-0000-0000-000001000000}"/>
    <cellStyle name="20% - Ênfase2" xfId="2" xr:uid="{00000000-0005-0000-0000-000002000000}"/>
    <cellStyle name="20% - Ênfase3" xfId="3" xr:uid="{00000000-0005-0000-0000-000003000000}"/>
    <cellStyle name="20% - Ênfase4" xfId="4" xr:uid="{00000000-0005-0000-0000-000004000000}"/>
    <cellStyle name="20% - Ênfase5" xfId="5" xr:uid="{00000000-0005-0000-0000-000005000000}"/>
    <cellStyle name="20% - Ênfase6" xfId="6" xr:uid="{00000000-0005-0000-0000-000006000000}"/>
    <cellStyle name="40% - Ênfase1" xfId="7" xr:uid="{00000000-0005-0000-0000-000007000000}"/>
    <cellStyle name="40% - Ênfase2" xfId="8" xr:uid="{00000000-0005-0000-0000-000008000000}"/>
    <cellStyle name="40% - Ênfase3" xfId="9" xr:uid="{00000000-0005-0000-0000-000009000000}"/>
    <cellStyle name="40% - Ênfase4" xfId="10" xr:uid="{00000000-0005-0000-0000-00000A000000}"/>
    <cellStyle name="40% - Ênfase5" xfId="11" xr:uid="{00000000-0005-0000-0000-00000B000000}"/>
    <cellStyle name="40% - Ênfase6" xfId="12" xr:uid="{00000000-0005-0000-0000-00000C000000}"/>
    <cellStyle name="60% - Accent1" xfId="56" xr:uid="{9B9E74B6-357B-470D-BE8D-FF6736336DEB}"/>
    <cellStyle name="60% - Ênfase1" xfId="13" xr:uid="{00000000-0005-0000-0000-00000D000000}"/>
    <cellStyle name="60% - Ênfase2" xfId="14" xr:uid="{00000000-0005-0000-0000-00000E000000}"/>
    <cellStyle name="60% - Ênfase3" xfId="15" xr:uid="{00000000-0005-0000-0000-00000F000000}"/>
    <cellStyle name="60% - Ênfase4" xfId="16" xr:uid="{00000000-0005-0000-0000-000010000000}"/>
    <cellStyle name="60% - Ênfase5" xfId="17" xr:uid="{00000000-0005-0000-0000-000011000000}"/>
    <cellStyle name="60% - Ênfase6" xfId="18" xr:uid="{00000000-0005-0000-0000-000012000000}"/>
    <cellStyle name="Accent1" xfId="57" xr:uid="{163945CF-5CB3-4557-851D-BF6A02DCDE8B}"/>
    <cellStyle name="Bom" xfId="19" xr:uid="{00000000-0005-0000-0000-000013000000}"/>
    <cellStyle name="Cálculo" xfId="20" xr:uid="{00000000-0005-0000-0000-000014000000}"/>
    <cellStyle name="Célula de Verificação" xfId="21" xr:uid="{00000000-0005-0000-0000-000015000000}"/>
    <cellStyle name="Célula Vinculada" xfId="22" xr:uid="{00000000-0005-0000-0000-000016000000}"/>
    <cellStyle name="Check Cell" xfId="58" xr:uid="{C322A246-8749-4DAA-989B-E92BB4361D7E}"/>
    <cellStyle name="Data" xfId="59" xr:uid="{25AA32AF-ED05-45CF-8828-BD9D642C2128}"/>
    <cellStyle name="Ênfase1" xfId="23" xr:uid="{00000000-0005-0000-0000-000017000000}"/>
    <cellStyle name="Ênfase2" xfId="24" xr:uid="{00000000-0005-0000-0000-000018000000}"/>
    <cellStyle name="Ênfase3" xfId="25" xr:uid="{00000000-0005-0000-0000-000019000000}"/>
    <cellStyle name="Ênfase4" xfId="26" xr:uid="{00000000-0005-0000-0000-00001A000000}"/>
    <cellStyle name="Ênfase5" xfId="27" xr:uid="{00000000-0005-0000-0000-00001B000000}"/>
    <cellStyle name="Ênfase6" xfId="28" xr:uid="{00000000-0005-0000-0000-00001C000000}"/>
    <cellStyle name="Entrada" xfId="29" xr:uid="{00000000-0005-0000-0000-00001D000000}"/>
    <cellStyle name="Euro" xfId="60" xr:uid="{F667BF77-E57B-440E-B8B0-86F67750E191}"/>
    <cellStyle name="Excel Built-in Normal" xfId="61" xr:uid="{6E1F7B34-A321-495F-901F-D8405DBC68B0}"/>
    <cellStyle name="Excel Built-in Normal 1" xfId="62" xr:uid="{6BCD1278-3D07-4078-B33D-6807FF8EE560}"/>
    <cellStyle name="Excel_BuiltIn_Comma" xfId="63" xr:uid="{893666C7-545F-47A3-AFC2-D2660305A3EA}"/>
    <cellStyle name="Fixo" xfId="64" xr:uid="{FC493ACA-674E-43C8-9F62-CA83BC4DBF81}"/>
    <cellStyle name="Good" xfId="65" xr:uid="{7DCF2D11-8E2D-4527-9018-B64982CD457F}"/>
    <cellStyle name="HEADER" xfId="66" xr:uid="{7EE86B35-AEC1-4E97-9436-C581C371C6B5}"/>
    <cellStyle name="Input" xfId="67" xr:uid="{D93BCBD2-7EF5-4F57-9EC7-A9196D10C4EE}"/>
    <cellStyle name="Linked Cell" xfId="68" xr:uid="{FD83901F-2778-4D46-B3EB-7967AE634724}"/>
    <cellStyle name="Milliers [0]_after_discount" xfId="69" xr:uid="{2F7ECD10-6B79-44AF-8EAE-22D30203A741}"/>
    <cellStyle name="Milliers_after_discount" xfId="70" xr:uid="{ED4B24F0-121B-4F13-9392-988D9A0373F0}"/>
    <cellStyle name="Model" xfId="71" xr:uid="{38ABA538-508B-4CAF-9D48-2BBFF6D0D86A}"/>
    <cellStyle name="Moeda 2" xfId="72" xr:uid="{B56C099D-E331-43B3-88B7-9D6AF588309A}"/>
    <cellStyle name="Moeda 3" xfId="73" xr:uid="{E3B715BF-539E-4307-B0D3-A6D7A99E082D}"/>
    <cellStyle name="Moeda_Composicao BDI v2.1" xfId="136" xr:uid="{8AC28992-6528-411B-A043-05B0AC723650}"/>
    <cellStyle name="Monétaire [0]_after_discount" xfId="74" xr:uid="{CDBE01FC-FB31-4530-BA89-6CFB94230A17}"/>
    <cellStyle name="Monétaire_after_discount" xfId="75" xr:uid="{9DFEB579-75BA-4C43-9E6B-0BEC851F83B5}"/>
    <cellStyle name="Neutral" xfId="76" xr:uid="{2DD56829-9412-4817-A170-8AA20F4C9C7A}"/>
    <cellStyle name="Neutro" xfId="30" xr:uid="{00000000-0005-0000-0000-000022000000}"/>
    <cellStyle name="Normal" xfId="0" builtinId="0"/>
    <cellStyle name="Normal 10" xfId="110" xr:uid="{AEFB96C3-EA1F-4531-8E84-D526C67BC68D}"/>
    <cellStyle name="Normal 2" xfId="31" xr:uid="{00000000-0005-0000-0000-000023000000}"/>
    <cellStyle name="Normal 2 2" xfId="77" xr:uid="{5B61B7F1-44F4-4AEA-B676-BC6ACCAB3120}"/>
    <cellStyle name="Normal 2 2 2" xfId="108" xr:uid="{1CE210D8-D4F3-4ED3-95F3-D6453C872644}"/>
    <cellStyle name="Normal 2 3" xfId="107" xr:uid="{440F3EC4-6363-4B60-8C2A-D16FCA920449}"/>
    <cellStyle name="Normal 2 4" xfId="129" xr:uid="{F9242D94-72B5-4B16-A77A-50D21B6A0A98}"/>
    <cellStyle name="Normal 2 4 2" xfId="132" xr:uid="{8E9360B2-DD84-48A2-8959-6259C714433D}"/>
    <cellStyle name="Normal 2 5" xfId="116" xr:uid="{376A7213-1BA9-4418-815E-AFD26C11980A}"/>
    <cellStyle name="Normal 3" xfId="32" xr:uid="{00000000-0005-0000-0000-000024000000}"/>
    <cellStyle name="Normal 3 2" xfId="124" xr:uid="{26B0566F-F1EA-4737-9137-F366B5A5C21C}"/>
    <cellStyle name="Normal 3 3" xfId="127" xr:uid="{56A46D58-9A84-4991-850F-4B9A8E9DD70D}"/>
    <cellStyle name="Normal 3 4" xfId="118" xr:uid="{0AB97722-0A15-47BF-9FF6-4CF91C16760F}"/>
    <cellStyle name="Normal 3 5" xfId="78" xr:uid="{5E2F8996-CB35-4497-81A1-BAF07D47F3D2}"/>
    <cellStyle name="Normal 4" xfId="33" xr:uid="{00000000-0005-0000-0000-000025000000}"/>
    <cellStyle name="Normal 4 2" xfId="111" xr:uid="{1D7318ED-0CE2-4A0F-8D54-C30F46A75D8A}"/>
    <cellStyle name="Normal 4 3" xfId="123" xr:uid="{637B6D88-50A5-4CA3-9998-67C0ADB0DB9D}"/>
    <cellStyle name="Normal 4 4" xfId="79" xr:uid="{7D595FA3-096A-44BC-B5DE-30045EFB632E}"/>
    <cellStyle name="Normal_FICHA DE VERIFICAÇÃO PRELIMINAR - Plano R" xfId="135" xr:uid="{C6371577-C7F2-463C-8627-1A9561BC52BB}"/>
    <cellStyle name="Nota" xfId="34" xr:uid="{00000000-0005-0000-0000-000026000000}"/>
    <cellStyle name="Note" xfId="80" xr:uid="{57E05DD4-431F-41A8-89D8-DD666B92AD72}"/>
    <cellStyle name="Œ…‹æØ‚è [0.00]_COST_SUM" xfId="81" xr:uid="{24F408C8-A0B4-4A3C-B274-FD7904D84E28}"/>
    <cellStyle name="Œ…‹æØ‚è_COST_SUM" xfId="82" xr:uid="{D7D25363-747C-4241-9E01-14B4BA2C733C}"/>
    <cellStyle name="Percentual" xfId="83" xr:uid="{E0B54316-4DEE-4C48-B6AB-BC7C5A5BE7FC}"/>
    <cellStyle name="Ponto" xfId="84" xr:uid="{85FCA18D-C991-4E91-A30B-58D262727562}"/>
    <cellStyle name="Porcentagem" xfId="35" builtinId="5"/>
    <cellStyle name="Porcentagem 2" xfId="36" xr:uid="{00000000-0005-0000-0000-000028000000}"/>
    <cellStyle name="Porcentagem 2 2" xfId="37" xr:uid="{00000000-0005-0000-0000-000029000000}"/>
    <cellStyle name="Porcentagem 2 2 2" xfId="112" xr:uid="{DA7084E2-9F08-4607-8CF9-28F125D3B1FD}"/>
    <cellStyle name="Porcentagem 2 2 3" xfId="113" xr:uid="{066D0488-1E8E-4BCC-915F-AF452F873954}"/>
    <cellStyle name="Porcentagem 3" xfId="85" xr:uid="{CFFB1120-553F-4C5A-9B82-085D2665EFDF}"/>
    <cellStyle name="Porcentagem 3 2" xfId="86" xr:uid="{672BD135-6AFC-4ED6-A9ED-E0538E9B8DB4}"/>
    <cellStyle name="Porcentagem 4" xfId="87" xr:uid="{0B7C33A1-C9F1-4912-BFBE-4B4FACD5FA6A}"/>
    <cellStyle name="Porcentagem 5" xfId="88" xr:uid="{F8315D84-0C20-400B-BDBF-C391B125B6C2}"/>
    <cellStyle name="Ruim" xfId="38" xr:uid="{00000000-0005-0000-0000-00002A000000}"/>
    <cellStyle name="Saída" xfId="39" xr:uid="{00000000-0005-0000-0000-00002B000000}"/>
    <cellStyle name="Separador de m" xfId="89" xr:uid="{F0BDC4A8-8245-4382-B9E0-40259DCB4B24}"/>
    <cellStyle name="Separador de milhares 2" xfId="53" xr:uid="{09FD6C3E-3BD5-4E3E-8069-F377952B1399}"/>
    <cellStyle name="Separador de milhares 2 2" xfId="55" xr:uid="{EDBB9071-987B-4204-8CA7-E7ED0A79A07E}"/>
    <cellStyle name="Separador de milhares 3" xfId="54" xr:uid="{B099C3B5-73E9-4329-A79F-EDB5CD4CF29B}"/>
    <cellStyle name="Separador de milhares 3 2" xfId="90" xr:uid="{0CF0061D-0476-4813-8091-97B3E01AE467}"/>
    <cellStyle name="Separador de milhares 4" xfId="91" xr:uid="{7D3FB6CE-CCEF-4C75-B107-30EC7325A038}"/>
    <cellStyle name="Separador de milhares 5" xfId="92" xr:uid="{CBFAFD34-1E00-40FC-AA1F-C397018524AE}"/>
    <cellStyle name="Separador de milhares 6" xfId="93" xr:uid="{33AE331C-6599-4AD3-8292-E305F5E1CA77}"/>
    <cellStyle name="Separador de milhares 6 2" xfId="94" xr:uid="{91C969C8-1B5D-462B-9DCF-06A5EE95077A}"/>
    <cellStyle name="Separador de milhares 7" xfId="95" xr:uid="{26BB9706-880F-4372-B671-8F53659D3CA4}"/>
    <cellStyle name="subhead" xfId="96" xr:uid="{1DFC77F3-FE15-4FFF-8822-EBCDA1647FF9}"/>
    <cellStyle name="SUBTIT" xfId="97" xr:uid="{21B70BE8-39AC-4D30-A89B-39DEF2E2D5D6}"/>
    <cellStyle name="SUBTIT 2" xfId="98" xr:uid="{4C5F6B69-7BA9-4FB9-BE2E-91DE253BFB3F}"/>
    <cellStyle name="SUBTIT 2 2" xfId="134" xr:uid="{7AA0DC49-C714-4F71-BD66-A0FE5A8731DD}"/>
    <cellStyle name="SUBTIT 3" xfId="133" xr:uid="{FB009F6D-7907-41D3-9855-940396AE0ABD}"/>
    <cellStyle name="Texto de Aviso" xfId="40" xr:uid="{00000000-0005-0000-0000-00002D000000}"/>
    <cellStyle name="Texto Explicativo" xfId="41" xr:uid="{00000000-0005-0000-0000-00002E000000}"/>
    <cellStyle name="Título" xfId="42" xr:uid="{00000000-0005-0000-0000-00002F000000}"/>
    <cellStyle name="Título 1" xfId="43" xr:uid="{00000000-0005-0000-0000-000030000000}"/>
    <cellStyle name="Título 1 1" xfId="99" xr:uid="{6A359E1A-4B4A-4EE6-AABB-67DB89F76EA7}"/>
    <cellStyle name="Título 2" xfId="44" xr:uid="{00000000-0005-0000-0000-000031000000}"/>
    <cellStyle name="Título 3" xfId="45" xr:uid="{00000000-0005-0000-0000-000032000000}"/>
    <cellStyle name="Título 4" xfId="46" xr:uid="{00000000-0005-0000-0000-000033000000}"/>
    <cellStyle name="Titulo1" xfId="100" xr:uid="{9FBF8AB4-20D6-4702-8288-58EA0AE473B7}"/>
    <cellStyle name="Titulo2" xfId="101" xr:uid="{CD19F9C0-1034-48B1-B27E-A019A4CADAA1}"/>
    <cellStyle name="Total" xfId="47" xr:uid="{00000000-0005-0000-0000-000034000000}"/>
    <cellStyle name="Vírgula" xfId="48" builtinId="3"/>
    <cellStyle name="Vírgula 2" xfId="49" xr:uid="{00000000-0005-0000-0000-000036000000}"/>
    <cellStyle name="Vírgula 2 2" xfId="102" xr:uid="{0FEC7A0C-3B90-4EF8-A82B-21A2CD5B7EC1}"/>
    <cellStyle name="Vírgula 2 2 2" xfId="126" xr:uid="{0564037A-CC03-4682-8673-8F3EA2156F78}"/>
    <cellStyle name="Vírgula 2 3" xfId="120" xr:uid="{0967AFE7-BDF0-4E19-AFEE-7F968FBA1E32}"/>
    <cellStyle name="Vírgula 3" xfId="50" xr:uid="{00000000-0005-0000-0000-000037000000}"/>
    <cellStyle name="Vírgula 3 2" xfId="51" xr:uid="{00000000-0005-0000-0000-000038000000}"/>
    <cellStyle name="Vírgula 3 2 2" xfId="117" xr:uid="{A8FC58D9-6B6E-4FBD-9B20-8F434BAE0480}"/>
    <cellStyle name="Vírgula 3 3" xfId="52" xr:uid="{00000000-0005-0000-0000-000039000000}"/>
    <cellStyle name="Vírgula 3 3 2" xfId="119" xr:uid="{D88F3D72-A51F-48FD-A1EA-9FC0DF51064B}"/>
    <cellStyle name="Vírgula 3 4" xfId="125" xr:uid="{FD73C445-3947-460F-A137-2242ACB9D536}"/>
    <cellStyle name="Vírgula 3 5" xfId="128" xr:uid="{70DC8A7D-E778-4BDD-856E-8F9EDDDBE26E}"/>
    <cellStyle name="Vírgula 3 6" xfId="130" xr:uid="{655BD3BB-2CEA-4041-81F2-38332F41ED67}"/>
    <cellStyle name="Vírgula 3 7" xfId="115" xr:uid="{7433DBF8-D14B-4C19-A08A-D00D6D986E76}"/>
    <cellStyle name="Vírgula 3 8" xfId="103" xr:uid="{072837A4-F493-4CE4-961F-4D16B00EF000}"/>
    <cellStyle name="Vírgula 4" xfId="104" xr:uid="{B1EFCD26-861F-4E70-9D6C-26B96289C004}"/>
    <cellStyle name="Vírgula 4 2" xfId="122" xr:uid="{7A97CE53-DED3-4828-B1C8-706662EF027D}"/>
    <cellStyle name="Vírgula 4 3" xfId="121" xr:uid="{D0B25E78-9455-4524-BD78-C2883D41F577}"/>
    <cellStyle name="Vírgula 5" xfId="105" xr:uid="{2C8831BA-F2D8-4BD1-A356-FC8A3FE27346}"/>
    <cellStyle name="Vírgula 6" xfId="109" xr:uid="{1D9C8465-B657-4D7E-B910-D78923EF2DAC}"/>
    <cellStyle name="Vírgula 7" xfId="114" xr:uid="{81438A6F-FF43-4B72-90D6-FAAF81D05AF6}"/>
    <cellStyle name="Vírgula 8" xfId="131" xr:uid="{16893613-21F0-4294-AB65-F75766FC9EB5}"/>
    <cellStyle name="Warning Text" xfId="106" xr:uid="{924ECE7F-CFFB-4BAD-8454-82BF3CE3B140}"/>
  </cellStyles>
  <dxfs count="32">
    <dxf>
      <font>
        <color rgb="FFFF0000"/>
      </font>
    </dxf>
    <dxf>
      <font>
        <b val="0"/>
        <condense val="0"/>
        <extend val="0"/>
        <color indexed="17"/>
      </font>
      <border>
        <left style="thin">
          <color indexed="8"/>
        </left>
        <right style="thin">
          <color indexed="8"/>
        </right>
        <top style="thin">
          <color indexed="8"/>
        </top>
        <bottom style="thin">
          <color indexed="8"/>
        </bottom>
      </border>
    </dxf>
    <dxf>
      <font>
        <b val="0"/>
        <condense val="0"/>
        <extend val="0"/>
        <color indexed="10"/>
      </font>
      <border>
        <left style="thin">
          <color indexed="8"/>
        </left>
        <right style="thin">
          <color indexed="8"/>
        </right>
        <top style="thin">
          <color indexed="8"/>
        </top>
        <bottom style="thin">
          <color indexed="8"/>
        </bottom>
      </border>
    </dxf>
    <dxf>
      <font>
        <color rgb="FFFF0000"/>
      </font>
    </dxf>
    <dxf>
      <font>
        <color theme="0"/>
      </font>
      <fill>
        <patternFill>
          <bgColor theme="0"/>
        </patternFill>
      </fill>
    </dxf>
    <dxf>
      <font>
        <b/>
        <i val="0"/>
        <condense val="0"/>
        <extend val="0"/>
      </font>
    </dxf>
    <dxf>
      <font>
        <color theme="0"/>
      </font>
      <fill>
        <patternFill>
          <bgColor theme="0"/>
        </patternFill>
      </fill>
    </dxf>
    <dxf>
      <font>
        <b/>
        <i val="0"/>
        <condense val="0"/>
        <extend val="0"/>
      </font>
    </dxf>
    <dxf>
      <font>
        <color theme="0"/>
      </font>
      <fill>
        <patternFill>
          <bgColor theme="0"/>
        </patternFill>
      </fill>
    </dxf>
    <dxf>
      <font>
        <b/>
        <i val="0"/>
        <condense val="0"/>
        <extend val="0"/>
        <color indexed="9"/>
      </font>
      <fill>
        <patternFill patternType="none">
          <fgColor indexed="64"/>
          <bgColor indexed="65"/>
        </patternFill>
      </fill>
      <border>
        <left/>
        <right/>
        <top style="thin">
          <color indexed="64"/>
        </top>
        <bottom/>
      </border>
    </dxf>
    <dxf>
      <font>
        <color theme="0"/>
      </font>
      <fill>
        <patternFill>
          <bgColor theme="0"/>
        </patternFill>
      </fill>
    </dxf>
    <dxf>
      <font>
        <b/>
        <i val="0"/>
        <condense val="0"/>
        <extend val="0"/>
        <color indexed="9"/>
      </font>
      <fill>
        <patternFill patternType="none">
          <fgColor indexed="64"/>
          <bgColor indexed="65"/>
        </patternFill>
      </fill>
      <border>
        <left/>
        <right/>
        <top style="thin">
          <color indexed="64"/>
        </top>
        <bottom/>
      </border>
    </dxf>
    <dxf>
      <font>
        <b/>
        <i val="0"/>
        <condense val="0"/>
        <extend val="0"/>
        <color indexed="9"/>
      </font>
      <fill>
        <patternFill patternType="none">
          <fgColor indexed="64"/>
          <bgColor indexed="65"/>
        </patternFill>
      </fill>
      <border>
        <left/>
        <right/>
        <top style="thin">
          <color indexed="64"/>
        </top>
        <bottom/>
      </border>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ill>
        <patternFill>
          <bgColor rgb="FFFF0000"/>
        </patternFill>
      </fill>
    </dxf>
    <dxf>
      <fill>
        <patternFill>
          <bgColor rgb="FFCCFFCC"/>
        </patternFill>
      </fill>
    </dxf>
    <dxf>
      <font>
        <b/>
        <i val="0"/>
        <color rgb="FF339966"/>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externalLink" Target="externalLinks/externalLink5.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104775</xdr:colOff>
      <xdr:row>28</xdr:row>
      <xdr:rowOff>49529</xdr:rowOff>
    </xdr:from>
    <xdr:to>
      <xdr:col>8</xdr:col>
      <xdr:colOff>962021</xdr:colOff>
      <xdr:row>30</xdr:row>
      <xdr:rowOff>171449</xdr:rowOff>
    </xdr:to>
    <xdr:sp macro="" textlink="">
      <xdr:nvSpPr>
        <xdr:cNvPr id="203" name="Text Box 7">
          <a:extLst>
            <a:ext uri="{FF2B5EF4-FFF2-40B4-BE49-F238E27FC236}">
              <a16:creationId xmlns:a16="http://schemas.microsoft.com/office/drawing/2014/main" id="{92B1F9AC-9285-449D-ACF7-78B587FA19D9}"/>
            </a:ext>
          </a:extLst>
        </xdr:cNvPr>
        <xdr:cNvSpPr txBox="1"/>
      </xdr:nvSpPr>
      <xdr:spPr bwMode="auto">
        <a:xfrm>
          <a:off x="104775" y="6477000"/>
          <a:ext cx="12515850" cy="390525"/>
        </a:xfrm>
        <a:prstGeom prst="rect">
          <a:avLst/>
        </a:prstGeom>
        <a:noFill/>
        <a:ln w="9525">
          <a:noFill/>
          <a:miter lim="800000"/>
        </a:ln>
      </xdr:spPr>
      <xdr:txBody>
        <a:bodyPr vertOverflow="clip" wrap="square" lIns="27432" tIns="22860" rIns="27432" bIns="0" anchor="t" upright="1"/>
        <a:lstStyle/>
        <a:p>
          <a:pPr algn="ctr"/>
          <a:endParaRPr lang="pt-BR" sz="1100" b="1" i="1">
            <a:solidFill>
              <a:srgbClr val="000000"/>
            </a:solidFill>
            <a:effectLst/>
            <a:latin typeface="+mn-lt"/>
            <a:ea typeface="+mn-ea"/>
            <a:cs typeface="+mn-cs"/>
          </a:endParaRPr>
        </a:p>
        <a:p>
          <a:pPr algn="ctr"/>
          <a:r>
            <a:rPr lang="pt-BR" sz="1100" b="1" i="1">
              <a:solidFill>
                <a:srgbClr val="000000"/>
              </a:solidFill>
              <a:effectLst/>
              <a:latin typeface="+mn-lt"/>
              <a:ea typeface="+mn-ea"/>
              <a:cs typeface="+mn-cs"/>
            </a:rPr>
            <a:t> Prefeitura Municipal de Bocaina de Minas – MG</a:t>
          </a:r>
          <a:endParaRPr lang="pt-BR">
            <a:solidFill>
              <a:srgbClr val="000000"/>
            </a:solidFill>
            <a:effectLst/>
          </a:endParaRPr>
        </a:p>
        <a:p>
          <a:pPr algn="ctr"/>
          <a:r>
            <a:rPr lang="pt-BR" sz="1100" i="1">
              <a:solidFill>
                <a:srgbClr val="000000"/>
              </a:solidFill>
              <a:effectLst/>
              <a:latin typeface="+mn-lt"/>
              <a:ea typeface="+mn-ea"/>
              <a:cs typeface="+mn-cs"/>
            </a:rPr>
            <a:t> </a:t>
          </a:r>
          <a:endParaRPr lang="pt-BR">
            <a:solidFill>
              <a:srgbClr val="000000"/>
            </a:solidFill>
            <a:effectLst/>
          </a:endParaRPr>
        </a:p>
      </xdr:txBody>
    </xdr:sp>
    <xdr:clientData/>
  </xdr:twoCellAnchor>
  <xdr:twoCellAnchor>
    <xdr:from>
      <xdr:col>1</xdr:col>
      <xdr:colOff>1034415</xdr:colOff>
      <xdr:row>0</xdr:row>
      <xdr:rowOff>0</xdr:rowOff>
    </xdr:from>
    <xdr:to>
      <xdr:col>5</xdr:col>
      <xdr:colOff>697250</xdr:colOff>
      <xdr:row>1</xdr:row>
      <xdr:rowOff>40259</xdr:rowOff>
    </xdr:to>
    <xdr:sp macro="" textlink="">
      <xdr:nvSpPr>
        <xdr:cNvPr id="204" name="Text Box 6">
          <a:extLst>
            <a:ext uri="{FF2B5EF4-FFF2-40B4-BE49-F238E27FC236}">
              <a16:creationId xmlns:a16="http://schemas.microsoft.com/office/drawing/2014/main" id="{C7A975CD-FC91-4D74-BFD0-04C7E5E47891}"/>
            </a:ext>
          </a:extLst>
        </xdr:cNvPr>
        <xdr:cNvSpPr txBox="1"/>
      </xdr:nvSpPr>
      <xdr:spPr bwMode="auto">
        <a:xfrm>
          <a:off x="1400175" y="0"/>
          <a:ext cx="7991475" cy="85725"/>
        </a:xfrm>
        <a:prstGeom prst="rect">
          <a:avLst/>
        </a:prstGeom>
        <a:noFill/>
        <a:ln w="9525">
          <a:noFill/>
          <a:miter lim="800000"/>
        </a:ln>
      </xdr:spPr>
      <xdr:txBody>
        <a:bodyPr vertOverflow="clip" wrap="square" lIns="27432" tIns="22860" rIns="0" bIns="0" anchor="ctr" upright="1"/>
        <a:lstStyle/>
        <a:p>
          <a:pPr algn="ctr"/>
          <a:endParaRPr lang="pt-BR" sz="1100">
            <a:solidFill>
              <a:srgbClr val="000000"/>
            </a:solidFill>
            <a:effectLst/>
            <a:latin typeface="+mn-lt"/>
            <a:ea typeface="+mn-ea"/>
            <a:cs typeface="+mn-cs"/>
          </a:endParaRPr>
        </a:p>
        <a:p>
          <a:pPr algn="ctr" rtl="0"/>
          <a:endParaRPr lang="pt-BR" sz="1050" b="1" i="0" u="none" baseline="0">
            <a:solidFill>
              <a:srgbClr val="FF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1043940</xdr:colOff>
      <xdr:row>0</xdr:row>
      <xdr:rowOff>0</xdr:rowOff>
    </xdr:from>
    <xdr:to>
      <xdr:col>5</xdr:col>
      <xdr:colOff>697235</xdr:colOff>
      <xdr:row>0</xdr:row>
      <xdr:rowOff>47624</xdr:rowOff>
    </xdr:to>
    <xdr:sp macro="" textlink="">
      <xdr:nvSpPr>
        <xdr:cNvPr id="356" name="Text Box 6">
          <a:extLst>
            <a:ext uri="{FF2B5EF4-FFF2-40B4-BE49-F238E27FC236}">
              <a16:creationId xmlns:a16="http://schemas.microsoft.com/office/drawing/2014/main" id="{7B48F8FD-DCE2-439B-8A09-F40DCE5F51EA}"/>
            </a:ext>
          </a:extLst>
        </xdr:cNvPr>
        <xdr:cNvSpPr txBox="1"/>
      </xdr:nvSpPr>
      <xdr:spPr bwMode="auto">
        <a:xfrm>
          <a:off x="1409700" y="0"/>
          <a:ext cx="10039350" cy="47625"/>
        </a:xfrm>
        <a:prstGeom prst="rect">
          <a:avLst/>
        </a:prstGeom>
        <a:noFill/>
        <a:ln w="9525">
          <a:noFill/>
          <a:miter lim="800000"/>
        </a:ln>
      </xdr:spPr>
      <xdr:txBody>
        <a:bodyPr vertOverflow="clip" wrap="square" lIns="27432" tIns="22860" rIns="0" bIns="0" anchor="ctr" upright="1"/>
        <a:lstStyle/>
        <a:p>
          <a:pPr algn="ctr"/>
          <a:endParaRPr lang="pt-BR" sz="1100">
            <a:solidFill>
              <a:srgbClr val="000000"/>
            </a:solidFill>
            <a:effectLst/>
            <a:latin typeface="+mn-lt"/>
            <a:ea typeface="+mn-ea"/>
            <a:cs typeface="+mn-cs"/>
          </a:endParaRPr>
        </a:p>
        <a:p>
          <a:pPr algn="ctr" rtl="0"/>
          <a:endParaRPr lang="pt-BR" sz="1050" b="1" i="0" u="none" baseline="0">
            <a:solidFill>
              <a:srgbClr val="FF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104775</xdr:colOff>
      <xdr:row>30</xdr:row>
      <xdr:rowOff>49529</xdr:rowOff>
    </xdr:from>
    <xdr:to>
      <xdr:col>8</xdr:col>
      <xdr:colOff>962021</xdr:colOff>
      <xdr:row>32</xdr:row>
      <xdr:rowOff>171449</xdr:rowOff>
    </xdr:to>
    <xdr:sp macro="" textlink="">
      <xdr:nvSpPr>
        <xdr:cNvPr id="511" name="Text Box 7">
          <a:extLst>
            <a:ext uri="{FF2B5EF4-FFF2-40B4-BE49-F238E27FC236}">
              <a16:creationId xmlns:a16="http://schemas.microsoft.com/office/drawing/2014/main" id="{45CF81DB-5609-418D-879F-D7F60A5EEF64}"/>
            </a:ext>
          </a:extLst>
        </xdr:cNvPr>
        <xdr:cNvSpPr txBox="1"/>
      </xdr:nvSpPr>
      <xdr:spPr bwMode="auto">
        <a:xfrm>
          <a:off x="104775" y="6800850"/>
          <a:ext cx="14258925" cy="371475"/>
        </a:xfrm>
        <a:prstGeom prst="rect">
          <a:avLst/>
        </a:prstGeom>
        <a:noFill/>
        <a:ln w="9525">
          <a:noFill/>
          <a:miter lim="800000"/>
        </a:ln>
        <a:effectLst/>
      </xdr:spPr>
      <xdr:txBody>
        <a:bodyPr vertOverflow="clip" wrap="square" lIns="27432" tIns="22860" rIns="27432" bIns="0" anchor="t" upright="1"/>
        <a:lstStyle/>
        <a:p>
          <a:pPr algn="ctr"/>
          <a:endParaRPr lang="pt-BR" sz="1100" b="1" i="1">
            <a:ln/>
            <a:solidFill>
              <a:srgbClr val="000000"/>
            </a:solidFill>
            <a:effectLst/>
            <a:latin typeface="+mn-lt"/>
            <a:ea typeface="+mn-ea"/>
            <a:cs typeface="+mn-cs"/>
          </a:endParaRPr>
        </a:p>
        <a:p>
          <a:pPr algn="ctr"/>
          <a:r>
            <a:rPr lang="pt-BR" sz="1100" b="1" i="1">
              <a:ln/>
              <a:solidFill>
                <a:srgbClr val="000000"/>
              </a:solidFill>
              <a:effectLst/>
              <a:latin typeface="+mn-lt"/>
              <a:ea typeface="+mn-ea"/>
              <a:cs typeface="+mn-cs"/>
            </a:rPr>
            <a:t> Prefeitura Municipal de Bocaina de Minas – MG</a:t>
          </a:r>
          <a:endParaRPr lang="pt-BR">
            <a:solidFill>
              <a:srgbClr val="000000"/>
            </a:solidFill>
            <a:effectLst/>
          </a:endParaRPr>
        </a:p>
        <a:p>
          <a:pPr algn="ctr"/>
          <a:r>
            <a:rPr lang="pt-BR" sz="1100" i="1">
              <a:ln/>
              <a:solidFill>
                <a:srgbClr val="000000"/>
              </a:solidFill>
              <a:effectLst/>
              <a:latin typeface="+mn-lt"/>
              <a:ea typeface="+mn-ea"/>
              <a:cs typeface="+mn-cs"/>
            </a:rPr>
            <a:t> </a:t>
          </a:r>
          <a:endParaRPr lang="pt-BR">
            <a:solidFill>
              <a:srgbClr val="000000"/>
            </a:solidFill>
            <a:effectLst/>
          </a:endParaRPr>
        </a:p>
      </xdr:txBody>
    </xdr:sp>
    <xdr:clientData/>
  </xdr:twoCellAnchor>
  <xdr:twoCellAnchor>
    <xdr:from>
      <xdr:col>2</xdr:col>
      <xdr:colOff>0</xdr:colOff>
      <xdr:row>0</xdr:row>
      <xdr:rowOff>0</xdr:rowOff>
    </xdr:from>
    <xdr:to>
      <xdr:col>5</xdr:col>
      <xdr:colOff>697250</xdr:colOff>
      <xdr:row>1</xdr:row>
      <xdr:rowOff>40259</xdr:rowOff>
    </xdr:to>
    <xdr:sp macro="" textlink="">
      <xdr:nvSpPr>
        <xdr:cNvPr id="512" name="Text Box 6">
          <a:extLst>
            <a:ext uri="{FF2B5EF4-FFF2-40B4-BE49-F238E27FC236}">
              <a16:creationId xmlns:a16="http://schemas.microsoft.com/office/drawing/2014/main" id="{350B6A67-80D2-40AD-BCBC-22DD935E5443}"/>
            </a:ext>
          </a:extLst>
        </xdr:cNvPr>
        <xdr:cNvSpPr txBox="1"/>
      </xdr:nvSpPr>
      <xdr:spPr bwMode="auto">
        <a:xfrm>
          <a:off x="1228725" y="0"/>
          <a:ext cx="9896475" cy="85725"/>
        </a:xfrm>
        <a:prstGeom prst="rect">
          <a:avLst/>
        </a:prstGeom>
        <a:noFill/>
        <a:ln w="9525">
          <a:noFill/>
          <a:miter lim="800000"/>
        </a:ln>
        <a:effectLst/>
      </xdr:spPr>
      <xdr:txBody>
        <a:bodyPr vertOverflow="clip" wrap="square" lIns="27432" tIns="22860" rIns="0" bIns="0" anchor="ctr" upright="1"/>
        <a:lstStyle/>
        <a:p>
          <a:pPr algn="ctr"/>
          <a:endParaRPr lang="pt-BR" sz="1100">
            <a:ln/>
            <a:solidFill>
              <a:srgbClr val="000000"/>
            </a:solidFill>
            <a:effectLst/>
            <a:latin typeface="+mn-lt"/>
            <a:ea typeface="+mn-ea"/>
            <a:cs typeface="+mn-cs"/>
          </a:endParaRPr>
        </a:p>
        <a:p>
          <a:pPr algn="ctr" rtl="0"/>
          <a:endParaRPr lang="pt-BR" sz="1050" b="1" i="0" u="none" baseline="0">
            <a:ln/>
            <a:solidFill>
              <a:srgbClr val="FF0000"/>
            </a:solidFill>
            <a:effectLst/>
            <a:latin typeface="Arial"/>
            <a:cs typeface="Arial"/>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1043940</xdr:colOff>
      <xdr:row>0</xdr:row>
      <xdr:rowOff>0</xdr:rowOff>
    </xdr:from>
    <xdr:to>
      <xdr:col>5</xdr:col>
      <xdr:colOff>697235</xdr:colOff>
      <xdr:row>0</xdr:row>
      <xdr:rowOff>47624</xdr:rowOff>
    </xdr:to>
    <xdr:sp macro="" textlink="">
      <xdr:nvSpPr>
        <xdr:cNvPr id="385" name="Text Box 6">
          <a:extLst>
            <a:ext uri="{FF2B5EF4-FFF2-40B4-BE49-F238E27FC236}">
              <a16:creationId xmlns:a16="http://schemas.microsoft.com/office/drawing/2014/main" id="{5CFC3E44-FE64-4320-A453-DD667CD90803}"/>
            </a:ext>
          </a:extLst>
        </xdr:cNvPr>
        <xdr:cNvSpPr txBox="1"/>
      </xdr:nvSpPr>
      <xdr:spPr bwMode="auto">
        <a:xfrm>
          <a:off x="1409700" y="0"/>
          <a:ext cx="10039350" cy="47625"/>
        </a:xfrm>
        <a:prstGeom prst="rect">
          <a:avLst/>
        </a:prstGeom>
        <a:noFill/>
        <a:ln w="9525">
          <a:noFill/>
          <a:miter lim="800000"/>
        </a:ln>
      </xdr:spPr>
      <xdr:txBody>
        <a:bodyPr vertOverflow="clip" wrap="square" lIns="27432" tIns="22860" rIns="0" bIns="0" anchor="ctr" upright="1"/>
        <a:lstStyle/>
        <a:p>
          <a:pPr algn="ctr"/>
          <a:endParaRPr lang="pt-BR" sz="1100">
            <a:solidFill>
              <a:srgbClr val="000000"/>
            </a:solidFill>
            <a:effectLst/>
            <a:latin typeface="+mn-lt"/>
            <a:ea typeface="+mn-ea"/>
            <a:cs typeface="+mn-cs"/>
          </a:endParaRPr>
        </a:p>
        <a:p>
          <a:pPr algn="ctr" rtl="0"/>
          <a:endParaRPr lang="pt-BR" sz="1050" b="1" i="0" u="none" baseline="0">
            <a:solidFill>
              <a:srgbClr val="FF0000"/>
            </a:solidFill>
            <a:latin typeface="Arial"/>
            <a:cs typeface="Arial"/>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2017\PMBF\CAL&#199;AMENTO%20SANTA%20TEREZINHA\PLANILHA%20M&#218;LTIPLA%202.3_BIAS%20FORTES_REV%20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d.docs.live.net/2017/PMBF/CAL&#199;AMENTO%20SANTA%20TEREZINHA/PLANILHA%20M&#218;LTIPLA%202.3_BIAS%20FORTES_REV%2003.xls" TargetMode="External"/></Relationships>
</file>

<file path=xl/externalLinks/_rels/externalLink3.xml.rels><?xml version="1.0" encoding="UTF-8" standalone="yes"?>
<Relationships xmlns="http://schemas.openxmlformats.org/package/2006/relationships"><Relationship Id="rId2" Type="http://schemas.openxmlformats.org/officeDocument/2006/relationships/externalLinkPath" Target="file:///F:\OneDrive\NOTEBOOK%20DELL\HD%20DO%20NOTEBOOK\HD%20EXTERNO%202022\2025\PM%20ARACITABA\FNHIS%20-%20CASAS%20POPULARES\Planilha_Multipla_Sapatas.xlsm" TargetMode="External"/><Relationship Id="rId1" Type="http://schemas.openxmlformats.org/officeDocument/2006/relationships/externalLinkPath" Target="file:///F:\OneDrive\NOTEBOOK%20DELL\HD%20DO%20NOTEBOOK\HD%20EXTERNO%202022\2025\PM%20ARACITABA\FNHIS%20-%20CASAS%20POPULARES\Planilha_Multipla_Sapatas.xlsm"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F:\OneDrive\NOTEBOOK%20DELL\HD%20DO%20NOTEBOOK\HD%20EXTERNO%202022\2026\PM%20CARVALHOS\PAVIMENTA&#199;&#195;O%20DE%20ESTRADAS%20VICINAIS\PLANILHA%20PAVIMENTA&#199;&#195;O%20DE%20ESTRADAS%20VICINAIS_CARVALHOS%20(1).xlsx" TargetMode="External"/><Relationship Id="rId1" Type="http://schemas.openxmlformats.org/officeDocument/2006/relationships/externalLinkPath" Target="file:///F:\OneDrive\NOTEBOOK%20DELL\HD%20DO%20NOTEBOOK\HD%20EXTERNO%202022\2026\PM%20CARVALHOS\PAVIMENTA&#199;&#195;O%20DE%20ESTRADAS%20VICINAIS\PLANILHA%20PAVIMENTA&#199;&#195;O%20DE%20ESTRADAS%20VICINAIS_CARVALHOS%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projetos\Meus%20documentos\Planilhas\OR&#199;AMENTO%202.4.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F:\OneDrive\NOTEBOOK%20DELL\HD%20DO%20NOTEBOOK\HD%20EXTERNO%202022\2024\PM_ARANTINA\PAVIMENTA&#199;&#195;O%20RURAL%20CONV._9491422023\REVIS&#195;O%2001\01.PLANILHA%20M&#218;LTIPLA%20V3.0.5_CONV.949142_2023_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Dell/AppData/Local/Temp/Rar$DIa10464.24800/PLANILHA_SETOP_GALP&#195;O%20(2).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sheetData sheetId="1"/>
      <sheetData sheetId="2">
        <row r="29">
          <cell r="G29">
            <v>42826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sheetData sheetId="1"/>
      <sheetData sheetId="2">
        <row r="29">
          <cell r="G29">
            <v>42826</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NOVO"/>
      <sheetName val="MENU"/>
      <sheetName val="DADOS"/>
      <sheetName val="BDI"/>
      <sheetName val="ORÇAMENTO"/>
      <sheetName val="EVENTOS"/>
      <sheetName val="CÁLCULO"/>
      <sheetName val="CRONOPLE"/>
      <sheetName val="CRONO"/>
      <sheetName val="QCI"/>
      <sheetName val="PLE"/>
      <sheetName val="BM"/>
      <sheetName val="RRE"/>
      <sheetName val="OFÍCIO"/>
      <sheetName val="PO-PLE"/>
      <sheetName val="CFF-PLE"/>
      <sheetName val="PO-BM"/>
      <sheetName val="CFF-BM"/>
    </sheetNames>
    <sheetDataSet>
      <sheetData sheetId="0"/>
      <sheetData sheetId="1"/>
      <sheetData sheetId="2">
        <row r="5">
          <cell r="C5" t="str">
            <v>PREFEITURA MUNICIPAL DE ARACITABA</v>
          </cell>
        </row>
        <row r="6">
          <cell r="C6" t="str">
            <v>ARACITABA</v>
          </cell>
        </row>
        <row r="7">
          <cell r="C7" t="str">
            <v>039934/2025</v>
          </cell>
        </row>
        <row r="8">
          <cell r="C8" t="str">
            <v>039934/2025</v>
          </cell>
        </row>
        <row r="16">
          <cell r="C16" t="str">
            <v>Casa térrea acessível, 2 quartos, Autil=47,46m², sapatas, conforme Portaria MCID 1416/2023</v>
          </cell>
        </row>
        <row r="17">
          <cell r="C17" t="str">
            <v>CONSTRUÇÃO DE CASAS POPULARES</v>
          </cell>
        </row>
        <row r="18">
          <cell r="C18" t="str">
            <v>NÃO DESONERADO</v>
          </cell>
          <cell r="D18" t="str">
            <v/>
          </cell>
        </row>
        <row r="19">
          <cell r="D19" t="str">
            <v/>
          </cell>
        </row>
        <row r="22">
          <cell r="C22" t="str">
            <v>PRISCILA CRISTINA DE PAULA NETO</v>
          </cell>
        </row>
        <row r="23">
          <cell r="C23" t="str">
            <v>142.702/D</v>
          </cell>
        </row>
        <row r="24">
          <cell r="C24" t="str">
            <v>MG20254432279</v>
          </cell>
        </row>
        <row r="25">
          <cell r="C25">
            <v>45957</v>
          </cell>
        </row>
      </sheetData>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row r="15">
          <cell r="V15"/>
        </row>
        <row r="16">
          <cell r="V16" t="str">
            <v>BDI 1</v>
          </cell>
        </row>
        <row r="17">
          <cell r="V17" t="str">
            <v>BDI 1</v>
          </cell>
        </row>
        <row r="18">
          <cell r="V18" t="str">
            <v>BDI 1</v>
          </cell>
        </row>
        <row r="19">
          <cell r="V19" t="str">
            <v>BDI 1</v>
          </cell>
        </row>
        <row r="20">
          <cell r="V20" t="str">
            <v>BDI 1</v>
          </cell>
        </row>
        <row r="21">
          <cell r="V21" t="str">
            <v>BDI 1</v>
          </cell>
        </row>
        <row r="22">
          <cell r="V22" t="str">
            <v>BDI 1</v>
          </cell>
        </row>
        <row r="23">
          <cell r="V23" t="str">
            <v>BDI 1</v>
          </cell>
        </row>
        <row r="24">
          <cell r="V24" t="str">
            <v>BDI 1</v>
          </cell>
        </row>
        <row r="25">
          <cell r="V25" t="str">
            <v>BDI 1</v>
          </cell>
        </row>
        <row r="26">
          <cell r="V26" t="str">
            <v>BDI 1</v>
          </cell>
        </row>
        <row r="27">
          <cell r="V27" t="str">
            <v>BDI 1</v>
          </cell>
        </row>
        <row r="28">
          <cell r="V28" t="str">
            <v>BDI 1</v>
          </cell>
        </row>
        <row r="29">
          <cell r="V29" t="str">
            <v>BDI 1</v>
          </cell>
        </row>
        <row r="30">
          <cell r="V30" t="str">
            <v>BDI 1</v>
          </cell>
        </row>
        <row r="31">
          <cell r="V31" t="str">
            <v>BDI 1</v>
          </cell>
        </row>
        <row r="32">
          <cell r="V32" t="str">
            <v>BDI 1</v>
          </cell>
        </row>
        <row r="33">
          <cell r="V33" t="str">
            <v>BDI 1</v>
          </cell>
        </row>
        <row r="34">
          <cell r="V34" t="str">
            <v>BDI 1</v>
          </cell>
        </row>
        <row r="35">
          <cell r="V35" t="str">
            <v>BDI 1</v>
          </cell>
        </row>
        <row r="36">
          <cell r="V36" t="str">
            <v>BDI 1</v>
          </cell>
        </row>
        <row r="37">
          <cell r="V37" t="str">
            <v>BDI 1</v>
          </cell>
        </row>
        <row r="38">
          <cell r="V38" t="str">
            <v>BDI 1</v>
          </cell>
        </row>
        <row r="39">
          <cell r="V39" t="str">
            <v>BDI 1</v>
          </cell>
        </row>
        <row r="40">
          <cell r="V40" t="str">
            <v>BDI 1</v>
          </cell>
        </row>
        <row r="41">
          <cell r="V41" t="str">
            <v>BDI 1</v>
          </cell>
        </row>
        <row r="42">
          <cell r="V42" t="str">
            <v>BDI 1</v>
          </cell>
        </row>
        <row r="43">
          <cell r="V43" t="str">
            <v>BDI 1</v>
          </cell>
        </row>
        <row r="44">
          <cell r="V44" t="str">
            <v>BDI 1</v>
          </cell>
        </row>
        <row r="45">
          <cell r="V45" t="str">
            <v>BDI 1</v>
          </cell>
        </row>
        <row r="46">
          <cell r="V46" t="str">
            <v>BDI 1</v>
          </cell>
        </row>
        <row r="47">
          <cell r="V47" t="str">
            <v>BDI 1</v>
          </cell>
        </row>
        <row r="48">
          <cell r="V48" t="str">
            <v>BDI 1</v>
          </cell>
        </row>
        <row r="49">
          <cell r="V49" t="str">
            <v>BDI 1</v>
          </cell>
        </row>
        <row r="50">
          <cell r="V50" t="str">
            <v>BDI 1</v>
          </cell>
        </row>
        <row r="51">
          <cell r="V51" t="str">
            <v>BDI 1</v>
          </cell>
        </row>
        <row r="52">
          <cell r="V52" t="str">
            <v>BDI 1</v>
          </cell>
        </row>
        <row r="53">
          <cell r="V53" t="str">
            <v>BDI 1</v>
          </cell>
        </row>
        <row r="54">
          <cell r="V54" t="str">
            <v>BDI 1</v>
          </cell>
        </row>
        <row r="55">
          <cell r="V55" t="str">
            <v>BDI 1</v>
          </cell>
        </row>
        <row r="56">
          <cell r="V56" t="str">
            <v>BDI 1</v>
          </cell>
        </row>
        <row r="57">
          <cell r="V57" t="str">
            <v>BDI 1</v>
          </cell>
        </row>
        <row r="58">
          <cell r="V58" t="str">
            <v>BDI 1</v>
          </cell>
        </row>
        <row r="59">
          <cell r="V59" t="str">
            <v>BDI 1</v>
          </cell>
        </row>
        <row r="60">
          <cell r="V60" t="str">
            <v>BDI 1</v>
          </cell>
        </row>
        <row r="61">
          <cell r="V61" t="str">
            <v>BDI 1</v>
          </cell>
        </row>
        <row r="62">
          <cell r="V62" t="str">
            <v>BDI 1</v>
          </cell>
        </row>
        <row r="63">
          <cell r="V63" t="str">
            <v>BDI 1</v>
          </cell>
        </row>
        <row r="64">
          <cell r="V64" t="str">
            <v>BDI 1</v>
          </cell>
        </row>
        <row r="65">
          <cell r="V65" t="str">
            <v>BDI 1</v>
          </cell>
        </row>
        <row r="66">
          <cell r="V66" t="str">
            <v>BDI 1</v>
          </cell>
        </row>
        <row r="67">
          <cell r="V67" t="str">
            <v>BDI 1</v>
          </cell>
        </row>
        <row r="68">
          <cell r="V68" t="str">
            <v>BDI 1</v>
          </cell>
        </row>
        <row r="69">
          <cell r="V69" t="str">
            <v>BDI 1</v>
          </cell>
        </row>
        <row r="70">
          <cell r="V70" t="str">
            <v>BDI 1</v>
          </cell>
        </row>
        <row r="71">
          <cell r="V71" t="str">
            <v>BDI 1</v>
          </cell>
        </row>
        <row r="72">
          <cell r="V72" t="str">
            <v>BDI 1</v>
          </cell>
        </row>
        <row r="73">
          <cell r="V73" t="str">
            <v>BDI 1</v>
          </cell>
        </row>
        <row r="74">
          <cell r="V74" t="str">
            <v>BDI 1</v>
          </cell>
        </row>
        <row r="75">
          <cell r="V75" t="str">
            <v>BDI 1</v>
          </cell>
        </row>
        <row r="76">
          <cell r="V76" t="str">
            <v>BDI 1</v>
          </cell>
        </row>
        <row r="77">
          <cell r="V77" t="str">
            <v>BDI 1</v>
          </cell>
        </row>
        <row r="78">
          <cell r="V78" t="str">
            <v>BDI 1</v>
          </cell>
        </row>
        <row r="79">
          <cell r="V79" t="str">
            <v>BDI 1</v>
          </cell>
        </row>
        <row r="80">
          <cell r="V80" t="str">
            <v>BDI 1</v>
          </cell>
        </row>
        <row r="81">
          <cell r="V81" t="str">
            <v>BDI 1</v>
          </cell>
        </row>
        <row r="82">
          <cell r="V82" t="str">
            <v>BDI 1</v>
          </cell>
        </row>
        <row r="83">
          <cell r="V83" t="str">
            <v>BDI 1</v>
          </cell>
        </row>
        <row r="84">
          <cell r="V84" t="str">
            <v>BDI 1</v>
          </cell>
        </row>
        <row r="85">
          <cell r="V85" t="str">
            <v>BDI 1</v>
          </cell>
        </row>
        <row r="86">
          <cell r="V86" t="str">
            <v>BDI 1</v>
          </cell>
        </row>
        <row r="87">
          <cell r="V87" t="str">
            <v>BDI 1</v>
          </cell>
        </row>
        <row r="88">
          <cell r="V88" t="str">
            <v>BDI 1</v>
          </cell>
        </row>
        <row r="89">
          <cell r="V89" t="str">
            <v>BDI 1</v>
          </cell>
        </row>
        <row r="90">
          <cell r="V90" t="str">
            <v>BDI 1</v>
          </cell>
        </row>
        <row r="91">
          <cell r="V91" t="str">
            <v>BDI 1</v>
          </cell>
        </row>
        <row r="92">
          <cell r="V92" t="str">
            <v>BDI 1</v>
          </cell>
        </row>
        <row r="93">
          <cell r="V93" t="str">
            <v>BDI 1</v>
          </cell>
        </row>
        <row r="94">
          <cell r="V94" t="str">
            <v>BDI 1</v>
          </cell>
        </row>
        <row r="95">
          <cell r="V95" t="str">
            <v>BDI 1</v>
          </cell>
        </row>
        <row r="96">
          <cell r="V96" t="str">
            <v>BDI 1</v>
          </cell>
        </row>
        <row r="97">
          <cell r="V97" t="str">
            <v>BDI 1</v>
          </cell>
        </row>
        <row r="98">
          <cell r="V98" t="str">
            <v>BDI 1</v>
          </cell>
        </row>
        <row r="99">
          <cell r="V99" t="str">
            <v>BDI 1</v>
          </cell>
        </row>
        <row r="100">
          <cell r="V100" t="str">
            <v>BDI 1</v>
          </cell>
        </row>
        <row r="101">
          <cell r="V101" t="str">
            <v>BDI 1</v>
          </cell>
        </row>
        <row r="102">
          <cell r="V102" t="str">
            <v>BDI 1</v>
          </cell>
        </row>
        <row r="103">
          <cell r="V103" t="str">
            <v>BDI 1</v>
          </cell>
        </row>
        <row r="104">
          <cell r="V104" t="str">
            <v>BDI 1</v>
          </cell>
        </row>
        <row r="105">
          <cell r="V105" t="str">
            <v>BDI 1</v>
          </cell>
        </row>
        <row r="106">
          <cell r="V106" t="str">
            <v>BDI 1</v>
          </cell>
        </row>
        <row r="107">
          <cell r="V107" t="str">
            <v>BDI 1</v>
          </cell>
        </row>
        <row r="108">
          <cell r="V108" t="str">
            <v>BDI 1</v>
          </cell>
        </row>
        <row r="109">
          <cell r="V109" t="str">
            <v>BDI 1</v>
          </cell>
        </row>
        <row r="110">
          <cell r="V110" t="str">
            <v>BDI 1</v>
          </cell>
        </row>
        <row r="111">
          <cell r="V111" t="str">
            <v>BDI 1</v>
          </cell>
        </row>
        <row r="112">
          <cell r="V112" t="str">
            <v>BDI 1</v>
          </cell>
        </row>
        <row r="113">
          <cell r="V113" t="str">
            <v>BDI 1</v>
          </cell>
        </row>
        <row r="114">
          <cell r="V114" t="str">
            <v>BDI 1</v>
          </cell>
        </row>
        <row r="115">
          <cell r="V115" t="str">
            <v>BDI 1</v>
          </cell>
        </row>
        <row r="116">
          <cell r="V116" t="str">
            <v>BDI 1</v>
          </cell>
        </row>
        <row r="117">
          <cell r="V117" t="str">
            <v>BDI 1</v>
          </cell>
        </row>
        <row r="118">
          <cell r="V118" t="str">
            <v>BDI 1</v>
          </cell>
        </row>
        <row r="119">
          <cell r="V119" t="str">
            <v>BDI 1</v>
          </cell>
        </row>
        <row r="120">
          <cell r="V120" t="str">
            <v>BDI 1</v>
          </cell>
        </row>
        <row r="121">
          <cell r="V121" t="str">
            <v>BDI 1</v>
          </cell>
        </row>
        <row r="122">
          <cell r="V122" t="str">
            <v>BDI 1</v>
          </cell>
        </row>
        <row r="123">
          <cell r="V123" t="str">
            <v>BDI 1</v>
          </cell>
        </row>
        <row r="124">
          <cell r="V124" t="str">
            <v>BDI 1</v>
          </cell>
        </row>
        <row r="125">
          <cell r="V125" t="str">
            <v>BDI 1</v>
          </cell>
        </row>
        <row r="126">
          <cell r="V126" t="str">
            <v>BDI 1</v>
          </cell>
        </row>
        <row r="127">
          <cell r="V127" t="str">
            <v>BDI 1</v>
          </cell>
        </row>
        <row r="128">
          <cell r="V128" t="str">
            <v>BDI 1</v>
          </cell>
        </row>
        <row r="129">
          <cell r="V129" t="str">
            <v>BDI 1</v>
          </cell>
        </row>
        <row r="130">
          <cell r="V130" t="str">
            <v>BDI 1</v>
          </cell>
        </row>
        <row r="131">
          <cell r="V131" t="str">
            <v>BDI 1</v>
          </cell>
        </row>
        <row r="132">
          <cell r="V132" t="str">
            <v>BDI 1</v>
          </cell>
        </row>
        <row r="133">
          <cell r="V133" t="str">
            <v>BDI 1</v>
          </cell>
        </row>
        <row r="134">
          <cell r="V134" t="str">
            <v>BDI 1</v>
          </cell>
        </row>
        <row r="135">
          <cell r="V135" t="str">
            <v>BDI 1</v>
          </cell>
        </row>
        <row r="136">
          <cell r="V136" t="str">
            <v>BDI 1</v>
          </cell>
        </row>
        <row r="137">
          <cell r="V137" t="str">
            <v>BDI 1</v>
          </cell>
        </row>
        <row r="138">
          <cell r="V138" t="str">
            <v>BDI 1</v>
          </cell>
        </row>
        <row r="139">
          <cell r="V139" t="str">
            <v>BDI 1</v>
          </cell>
        </row>
        <row r="140">
          <cell r="V140" t="str">
            <v>BDI 1</v>
          </cell>
        </row>
        <row r="141">
          <cell r="V141" t="str">
            <v>BDI 1</v>
          </cell>
        </row>
        <row r="142">
          <cell r="V142" t="str">
            <v>BDI 1</v>
          </cell>
        </row>
        <row r="143">
          <cell r="V143" t="str">
            <v>BDI 1</v>
          </cell>
        </row>
        <row r="144">
          <cell r="V144" t="str">
            <v>BDI 1</v>
          </cell>
        </row>
        <row r="145">
          <cell r="V145" t="str">
            <v>BDI 1</v>
          </cell>
        </row>
        <row r="146">
          <cell r="V146" t="str">
            <v>BDI 1</v>
          </cell>
        </row>
        <row r="147">
          <cell r="V147" t="str">
            <v>BDI 1</v>
          </cell>
        </row>
        <row r="148">
          <cell r="V148" t="str">
            <v>BDI 1</v>
          </cell>
        </row>
        <row r="149">
          <cell r="V149" t="str">
            <v>BDI 1</v>
          </cell>
        </row>
        <row r="150">
          <cell r="V150" t="str">
            <v>BDI 1</v>
          </cell>
        </row>
        <row r="151">
          <cell r="V151" t="str">
            <v>BDI 1</v>
          </cell>
        </row>
        <row r="152">
          <cell r="V152" t="str">
            <v>BDI 1</v>
          </cell>
        </row>
        <row r="153">
          <cell r="V153" t="str">
            <v>BDI 1</v>
          </cell>
        </row>
        <row r="154">
          <cell r="V154" t="str">
            <v>BDI 1</v>
          </cell>
        </row>
        <row r="155">
          <cell r="V155" t="str">
            <v>BDI 1</v>
          </cell>
        </row>
        <row r="156">
          <cell r="V156" t="str">
            <v>BDI 1</v>
          </cell>
        </row>
        <row r="157">
          <cell r="V157" t="str">
            <v>BDI 1</v>
          </cell>
        </row>
        <row r="158">
          <cell r="V158" t="str">
            <v>BDI 1</v>
          </cell>
        </row>
        <row r="159">
          <cell r="V159" t="str">
            <v>BDI 1</v>
          </cell>
        </row>
        <row r="160">
          <cell r="V160" t="str">
            <v>BDI 1</v>
          </cell>
        </row>
        <row r="161">
          <cell r="V161" t="str">
            <v>BDI 1</v>
          </cell>
        </row>
        <row r="162">
          <cell r="V162" t="str">
            <v>BDI 1</v>
          </cell>
        </row>
        <row r="163">
          <cell r="V163" t="str">
            <v>BDI 1</v>
          </cell>
        </row>
        <row r="164">
          <cell r="V164" t="str">
            <v>BDI 1</v>
          </cell>
        </row>
        <row r="165">
          <cell r="V165" t="str">
            <v>BDI 1</v>
          </cell>
        </row>
        <row r="166">
          <cell r="V166" t="str">
            <v>BDI 1</v>
          </cell>
        </row>
        <row r="167">
          <cell r="V167" t="str">
            <v>BDI 1</v>
          </cell>
        </row>
        <row r="168">
          <cell r="V168" t="str">
            <v>BDI 1</v>
          </cell>
        </row>
        <row r="169">
          <cell r="V169" t="str">
            <v>BDI 1</v>
          </cell>
        </row>
        <row r="170">
          <cell r="V170" t="str">
            <v>BDI 1</v>
          </cell>
        </row>
        <row r="171">
          <cell r="V171" t="str">
            <v>BDI 1</v>
          </cell>
        </row>
        <row r="172">
          <cell r="V172" t="str">
            <v>BDI 1</v>
          </cell>
        </row>
        <row r="173">
          <cell r="V173" t="str">
            <v>BDI 1</v>
          </cell>
        </row>
        <row r="174">
          <cell r="V174" t="str">
            <v>BDI 1</v>
          </cell>
        </row>
        <row r="175">
          <cell r="V175" t="str">
            <v>BDI 1</v>
          </cell>
        </row>
        <row r="176">
          <cell r="V176" t="str">
            <v>BDI 1</v>
          </cell>
        </row>
        <row r="177">
          <cell r="V177" t="str">
            <v>BDI 1</v>
          </cell>
        </row>
        <row r="178">
          <cell r="V178" t="str">
            <v>BDI 1</v>
          </cell>
        </row>
        <row r="179">
          <cell r="V179" t="str">
            <v>BDI 1</v>
          </cell>
        </row>
        <row r="180">
          <cell r="V180" t="str">
            <v>BDI 1</v>
          </cell>
        </row>
        <row r="181">
          <cell r="V181" t="str">
            <v>BDI 1</v>
          </cell>
        </row>
        <row r="182">
          <cell r="V182" t="str">
            <v>BDI 1</v>
          </cell>
        </row>
        <row r="183">
          <cell r="V183" t="str">
            <v>BDI 1</v>
          </cell>
        </row>
        <row r="184">
          <cell r="V184" t="str">
            <v>BDI 1</v>
          </cell>
        </row>
        <row r="185">
          <cell r="V185" t="str">
            <v>BDI 1</v>
          </cell>
        </row>
        <row r="186">
          <cell r="V186" t="str">
            <v>BDI 1</v>
          </cell>
        </row>
        <row r="187">
          <cell r="V187" t="str">
            <v>BDI 1</v>
          </cell>
        </row>
        <row r="188">
          <cell r="V188" t="str">
            <v>BDI 1</v>
          </cell>
        </row>
        <row r="189">
          <cell r="V189" t="str">
            <v>BDI 1</v>
          </cell>
        </row>
        <row r="190">
          <cell r="V190" t="str">
            <v>BDI 1</v>
          </cell>
        </row>
        <row r="191">
          <cell r="V191" t="str">
            <v>BDI 1</v>
          </cell>
        </row>
        <row r="192">
          <cell r="V192" t="str">
            <v>BDI 1</v>
          </cell>
        </row>
        <row r="193">
          <cell r="V193" t="str">
            <v>BDI 1</v>
          </cell>
        </row>
        <row r="194">
          <cell r="V194" t="str">
            <v>BDI 1</v>
          </cell>
        </row>
        <row r="195">
          <cell r="V195" t="str">
            <v>BDI 1</v>
          </cell>
        </row>
        <row r="196">
          <cell r="V196" t="str">
            <v>BDI 1</v>
          </cell>
        </row>
        <row r="197">
          <cell r="V197" t="str">
            <v>BDI 1</v>
          </cell>
        </row>
        <row r="198">
          <cell r="V198" t="str">
            <v>BDI 1</v>
          </cell>
        </row>
        <row r="199">
          <cell r="V199" t="str">
            <v>BDI 1</v>
          </cell>
        </row>
        <row r="200">
          <cell r="V200" t="str">
            <v>BDI 1</v>
          </cell>
        </row>
        <row r="201">
          <cell r="V201" t="str">
            <v>BDI 1</v>
          </cell>
        </row>
        <row r="202">
          <cell r="V202" t="str">
            <v>BDI 1</v>
          </cell>
        </row>
        <row r="203">
          <cell r="V203" t="str">
            <v>BDI 1</v>
          </cell>
        </row>
        <row r="204">
          <cell r="V204" t="str">
            <v>BDI 1</v>
          </cell>
        </row>
        <row r="205">
          <cell r="V205" t="str">
            <v>BDI 1</v>
          </cell>
        </row>
        <row r="206">
          <cell r="V206" t="str">
            <v>BDI 1</v>
          </cell>
        </row>
        <row r="207">
          <cell r="V207" t="str">
            <v>BDI 1</v>
          </cell>
        </row>
        <row r="208">
          <cell r="V208" t="str">
            <v>BDI 1</v>
          </cell>
        </row>
        <row r="209">
          <cell r="V209" t="str">
            <v>BDI 1</v>
          </cell>
        </row>
        <row r="210">
          <cell r="V210" t="str">
            <v>BDI 1</v>
          </cell>
        </row>
        <row r="211">
          <cell r="V211" t="str">
            <v>BDI 1</v>
          </cell>
        </row>
        <row r="212">
          <cell r="V212" t="str">
            <v>BDI 1</v>
          </cell>
        </row>
        <row r="213">
          <cell r="V213" t="str">
            <v>BDI 1</v>
          </cell>
        </row>
        <row r="214">
          <cell r="V214" t="str">
            <v>BDI 1</v>
          </cell>
        </row>
        <row r="215">
          <cell r="V215" t="str">
            <v>BDI 1</v>
          </cell>
        </row>
        <row r="216">
          <cell r="V216" t="str">
            <v>BDI 1</v>
          </cell>
        </row>
        <row r="217">
          <cell r="V217" t="str">
            <v>BDI 1</v>
          </cell>
        </row>
        <row r="218">
          <cell r="V218" t="str">
            <v>BDI 1</v>
          </cell>
        </row>
        <row r="219">
          <cell r="V219" t="str">
            <v>BDI 1</v>
          </cell>
        </row>
        <row r="220">
          <cell r="V220" t="str">
            <v>BDI 1</v>
          </cell>
        </row>
        <row r="221">
          <cell r="V221" t="str">
            <v>BDI 1</v>
          </cell>
        </row>
        <row r="222">
          <cell r="V222" t="str">
            <v>BDI 1</v>
          </cell>
        </row>
        <row r="223">
          <cell r="V223" t="str">
            <v>BDI 1</v>
          </cell>
        </row>
        <row r="224">
          <cell r="V224" t="str">
            <v>BDI 1</v>
          </cell>
        </row>
        <row r="225">
          <cell r="V225" t="str">
            <v>BDI 1</v>
          </cell>
        </row>
        <row r="226">
          <cell r="V226" t="str">
            <v>BDI 1</v>
          </cell>
        </row>
        <row r="227">
          <cell r="V227" t="str">
            <v>BDI 1</v>
          </cell>
        </row>
        <row r="228">
          <cell r="V228" t="str">
            <v>BDI 1</v>
          </cell>
        </row>
        <row r="229">
          <cell r="V229" t="str">
            <v>BDI 1</v>
          </cell>
        </row>
        <row r="230">
          <cell r="V230" t="str">
            <v>BDI 1</v>
          </cell>
        </row>
        <row r="231">
          <cell r="V231" t="str">
            <v>BDI 1</v>
          </cell>
        </row>
        <row r="232">
          <cell r="V232" t="str">
            <v>BDI 1</v>
          </cell>
        </row>
        <row r="233">
          <cell r="V233" t="str">
            <v>BDI 1</v>
          </cell>
        </row>
        <row r="234">
          <cell r="V234" t="str">
            <v>BDI 1</v>
          </cell>
        </row>
        <row r="235">
          <cell r="V235" t="str">
            <v>BDI 1</v>
          </cell>
        </row>
        <row r="236">
          <cell r="V236" t="str">
            <v>BDI 1</v>
          </cell>
        </row>
        <row r="237">
          <cell r="V237" t="str">
            <v>BDI 1</v>
          </cell>
        </row>
        <row r="238">
          <cell r="V238" t="str">
            <v>BDI 1</v>
          </cell>
        </row>
        <row r="239">
          <cell r="V239" t="str">
            <v>BDI 1</v>
          </cell>
        </row>
        <row r="240">
          <cell r="V240" t="str">
            <v>BDI 1</v>
          </cell>
        </row>
        <row r="241">
          <cell r="V241" t="str">
            <v>BDI 1</v>
          </cell>
        </row>
        <row r="242">
          <cell r="V242" t="str">
            <v>BDI 1</v>
          </cell>
        </row>
        <row r="243">
          <cell r="V243" t="str">
            <v>BDI 1</v>
          </cell>
        </row>
        <row r="244">
          <cell r="V244" t="str">
            <v>BDI 1</v>
          </cell>
        </row>
        <row r="245">
          <cell r="V245"/>
        </row>
      </sheetData>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MPOSIÇÃO BDI"/>
      <sheetName val="Modelo Planilha Orcamentaria"/>
      <sheetName val="Memória de Cálculo"/>
      <sheetName val="CFF"/>
      <sheetName val="Composições"/>
      <sheetName val="BDI"/>
    </sheetNames>
    <sheetDataSet>
      <sheetData sheetId="0">
        <row r="57">
          <cell r="J57" t="str">
            <v>% Adotado</v>
          </cell>
        </row>
        <row r="97">
          <cell r="J97" t="str">
            <v>% Adotado</v>
          </cell>
        </row>
      </sheetData>
      <sheetData sheetId="1">
        <row r="4">
          <cell r="F4" t="str">
            <v>DATA: 26/03/2026</v>
          </cell>
        </row>
      </sheetData>
      <sheetData sheetId="2" refreshError="1"/>
      <sheetData sheetId="3" refreshError="1"/>
      <sheetData sheetId="4" refreshError="1"/>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COMPOS."/>
      <sheetName val="ORÇAMENTO"/>
      <sheetName val="CONCRETO FUNDAÇÃO"/>
      <sheetName val="CONCRETO ESTRUTURA"/>
      <sheetName val="PARETO  |  ABC"/>
      <sheetName val="GRÁFICO"/>
    </sheetNames>
    <sheetDataSet>
      <sheetData sheetId="0">
        <row r="8">
          <cell r="G8">
            <v>2.89</v>
          </cell>
        </row>
        <row r="11">
          <cell r="B11" t="str">
            <v xml:space="preserve">  Pedreiro de acabamento</v>
          </cell>
        </row>
      </sheetData>
      <sheetData sheetId="1"/>
      <sheetData sheetId="2"/>
      <sheetData sheetId="3"/>
      <sheetData sheetId="4"/>
      <sheetData sheetId="5"/>
      <sheetData sheetId="6"/>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2"/>
      <sheetName val="Planilha1"/>
    </sheetNames>
    <sheetDataSet>
      <sheetData sheetId="0">
        <row r="3">
          <cell r="O3">
            <v>1</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Planilha Orcamentaria"/>
      <sheetName val="CFF"/>
      <sheetName val="CC"/>
      <sheetName val="MC"/>
      <sheetName val="MEMORIA DE CALCULO"/>
    </sheetNames>
    <sheetDataSet>
      <sheetData sheetId="0">
        <row r="14">
          <cell r="E14" t="str">
            <v>M2</v>
          </cell>
        </row>
      </sheetData>
      <sheetData sheetId="1"/>
      <sheetData sheetId="2"/>
      <sheetData sheetId="3"/>
      <sheetData sheetId="4"/>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CC0DD-C43E-4EB7-A82C-838548CB56B0}">
  <dimension ref="A1:Q64"/>
  <sheetViews>
    <sheetView workbookViewId="0">
      <selection activeCell="E5" sqref="E5:G8"/>
    </sheetView>
  </sheetViews>
  <sheetFormatPr defaultRowHeight="13.2"/>
  <cols>
    <col min="4" max="4" width="36.5546875" customWidth="1"/>
    <col min="10" max="10" width="10.6640625" customWidth="1"/>
    <col min="13" max="13" width="11.33203125" customWidth="1"/>
  </cols>
  <sheetData>
    <row r="1" spans="1:17" ht="15.6">
      <c r="A1" s="358" t="s">
        <v>106</v>
      </c>
      <c r="B1" s="359"/>
      <c r="C1" s="359"/>
      <c r="D1" s="359"/>
      <c r="E1" s="359"/>
      <c r="F1" s="359"/>
      <c r="G1" s="359"/>
      <c r="H1" s="359"/>
      <c r="I1" s="359"/>
      <c r="J1" s="359"/>
      <c r="K1" s="359"/>
      <c r="L1" s="359"/>
      <c r="M1" s="359"/>
      <c r="N1" s="359"/>
      <c r="O1" s="359"/>
      <c r="P1" s="359"/>
      <c r="Q1" s="360"/>
    </row>
    <row r="2" spans="1:17">
      <c r="A2" s="110"/>
      <c r="B2" s="111"/>
      <c r="C2" s="111"/>
      <c r="D2" s="111"/>
      <c r="E2" s="111"/>
      <c r="F2" s="111"/>
      <c r="G2" s="111"/>
      <c r="H2" s="111"/>
      <c r="I2" s="111"/>
      <c r="J2" s="111"/>
      <c r="K2" s="111"/>
      <c r="L2" s="111"/>
      <c r="M2" s="112"/>
      <c r="N2" s="111"/>
      <c r="O2" s="113"/>
      <c r="P2" s="111"/>
      <c r="Q2" s="114"/>
    </row>
    <row r="3" spans="1:17">
      <c r="A3" s="361" t="s">
        <v>143</v>
      </c>
      <c r="B3" s="362"/>
      <c r="C3" s="362"/>
      <c r="D3" s="363"/>
      <c r="E3" s="367" t="s">
        <v>107</v>
      </c>
      <c r="F3" s="368"/>
      <c r="G3" s="369"/>
      <c r="H3" s="370" t="s">
        <v>108</v>
      </c>
      <c r="I3" s="371"/>
      <c r="J3" s="372" t="s">
        <v>109</v>
      </c>
      <c r="K3" s="373"/>
      <c r="L3" s="374"/>
      <c r="M3" s="367" t="s">
        <v>110</v>
      </c>
      <c r="N3" s="368"/>
      <c r="O3" s="369"/>
      <c r="P3" s="388" t="s">
        <v>111</v>
      </c>
      <c r="Q3" s="389"/>
    </row>
    <row r="4" spans="1:17">
      <c r="A4" s="364"/>
      <c r="B4" s="365"/>
      <c r="C4" s="365"/>
      <c r="D4" s="366"/>
      <c r="E4" s="334" t="s">
        <v>112</v>
      </c>
      <c r="F4" s="375"/>
      <c r="G4" s="335"/>
      <c r="H4" s="334" t="s">
        <v>113</v>
      </c>
      <c r="I4" s="335"/>
      <c r="J4" s="334" t="s">
        <v>113</v>
      </c>
      <c r="K4" s="375"/>
      <c r="L4" s="335"/>
      <c r="M4" s="334" t="s">
        <v>112</v>
      </c>
      <c r="N4" s="375"/>
      <c r="O4" s="335"/>
      <c r="P4" s="332" t="s">
        <v>112</v>
      </c>
      <c r="Q4" s="333"/>
    </row>
    <row r="5" spans="1:17">
      <c r="A5" s="336" t="s">
        <v>144</v>
      </c>
      <c r="B5" s="337"/>
      <c r="C5" s="337"/>
      <c r="D5" s="338"/>
      <c r="E5" s="342" t="s">
        <v>114</v>
      </c>
      <c r="F5" s="343"/>
      <c r="G5" s="344"/>
      <c r="H5" s="348" t="s">
        <v>115</v>
      </c>
      <c r="I5" s="349"/>
      <c r="J5" s="352" t="s">
        <v>146</v>
      </c>
      <c r="K5" s="353"/>
      <c r="L5" s="353"/>
      <c r="M5" s="353"/>
      <c r="N5" s="353"/>
      <c r="O5" s="354"/>
      <c r="P5" s="334"/>
      <c r="Q5" s="335"/>
    </row>
    <row r="6" spans="1:17">
      <c r="A6" s="339"/>
      <c r="B6" s="340"/>
      <c r="C6" s="340"/>
      <c r="D6" s="341"/>
      <c r="E6" s="345"/>
      <c r="F6" s="346"/>
      <c r="G6" s="347"/>
      <c r="H6" s="350"/>
      <c r="I6" s="351"/>
      <c r="J6" s="355" t="s">
        <v>159</v>
      </c>
      <c r="K6" s="356"/>
      <c r="L6" s="356"/>
      <c r="M6" s="356"/>
      <c r="N6" s="356"/>
      <c r="O6" s="356"/>
      <c r="P6" s="356"/>
      <c r="Q6" s="357"/>
    </row>
    <row r="7" spans="1:17">
      <c r="A7" s="361" t="s">
        <v>145</v>
      </c>
      <c r="B7" s="362"/>
      <c r="C7" s="362"/>
      <c r="D7" s="363"/>
      <c r="E7" s="342" t="s">
        <v>116</v>
      </c>
      <c r="F7" s="343"/>
      <c r="G7" s="344"/>
      <c r="H7" s="387">
        <v>44637</v>
      </c>
      <c r="I7" s="344"/>
      <c r="J7" s="388" t="s">
        <v>117</v>
      </c>
      <c r="K7" s="389"/>
      <c r="L7" s="388" t="s">
        <v>118</v>
      </c>
      <c r="M7" s="389"/>
      <c r="N7" s="388" t="s">
        <v>119</v>
      </c>
      <c r="O7" s="389"/>
      <c r="P7" s="388" t="s">
        <v>120</v>
      </c>
      <c r="Q7" s="389"/>
    </row>
    <row r="8" spans="1:17">
      <c r="A8" s="364"/>
      <c r="B8" s="365"/>
      <c r="C8" s="365"/>
      <c r="D8" s="366"/>
      <c r="E8" s="345"/>
      <c r="F8" s="346"/>
      <c r="G8" s="347"/>
      <c r="H8" s="345"/>
      <c r="I8" s="347"/>
      <c r="J8" s="397">
        <v>536144.82999999996</v>
      </c>
      <c r="K8" s="398"/>
      <c r="L8" s="399">
        <f>J8</f>
        <v>536144.82999999996</v>
      </c>
      <c r="M8" s="400"/>
      <c r="N8" s="401" t="e">
        <f>N48</f>
        <v>#REF!</v>
      </c>
      <c r="O8" s="402"/>
      <c r="P8" s="401" t="e">
        <f>L8-N8</f>
        <v>#REF!</v>
      </c>
      <c r="Q8" s="402"/>
    </row>
    <row r="9" spans="1:17">
      <c r="A9" s="376" t="s">
        <v>0</v>
      </c>
      <c r="B9" s="378" t="s">
        <v>121</v>
      </c>
      <c r="C9" s="379"/>
      <c r="D9" s="380"/>
      <c r="E9" s="378" t="s">
        <v>122</v>
      </c>
      <c r="F9" s="379"/>
      <c r="G9" s="380"/>
      <c r="H9" s="384" t="s">
        <v>123</v>
      </c>
      <c r="I9" s="385"/>
      <c r="J9" s="386"/>
      <c r="K9" s="378" t="s">
        <v>14</v>
      </c>
      <c r="L9" s="380"/>
      <c r="M9" s="390" t="s">
        <v>124</v>
      </c>
      <c r="N9" s="392" t="s">
        <v>125</v>
      </c>
      <c r="O9" s="393"/>
      <c r="P9" s="393"/>
      <c r="Q9" s="394"/>
    </row>
    <row r="10" spans="1:17" ht="24">
      <c r="A10" s="377"/>
      <c r="B10" s="381"/>
      <c r="C10" s="382"/>
      <c r="D10" s="383"/>
      <c r="E10" s="381" t="s">
        <v>126</v>
      </c>
      <c r="F10" s="382"/>
      <c r="G10" s="383"/>
      <c r="H10" s="115" t="s">
        <v>127</v>
      </c>
      <c r="I10" s="115" t="s">
        <v>128</v>
      </c>
      <c r="J10" s="115" t="s">
        <v>129</v>
      </c>
      <c r="K10" s="381"/>
      <c r="L10" s="383"/>
      <c r="M10" s="391"/>
      <c r="N10" s="384" t="s">
        <v>128</v>
      </c>
      <c r="O10" s="386"/>
      <c r="P10" s="384" t="s">
        <v>129</v>
      </c>
      <c r="Q10" s="386"/>
    </row>
    <row r="11" spans="1:17" ht="19.5" customHeight="1">
      <c r="A11" s="80">
        <v>1</v>
      </c>
      <c r="B11" s="448" t="s">
        <v>11</v>
      </c>
      <c r="C11" s="449"/>
      <c r="D11" s="449"/>
      <c r="E11" s="449"/>
      <c r="F11" s="449"/>
      <c r="G11" s="449"/>
      <c r="H11" s="449"/>
      <c r="I11" s="449"/>
      <c r="J11" s="449"/>
      <c r="K11" s="449"/>
      <c r="L11" s="449"/>
      <c r="M11" s="449"/>
      <c r="N11" s="449"/>
      <c r="O11" s="449"/>
      <c r="P11" s="450">
        <f>P12+P13</f>
        <v>14593.216839999999</v>
      </c>
      <c r="Q11" s="451"/>
    </row>
    <row r="12" spans="1:17" ht="61.5" customHeight="1">
      <c r="A12" s="77" t="s">
        <v>10</v>
      </c>
      <c r="B12" s="298" t="s">
        <v>68</v>
      </c>
      <c r="C12" s="403"/>
      <c r="D12" s="299"/>
      <c r="E12" s="404">
        <v>2</v>
      </c>
      <c r="F12" s="405"/>
      <c r="G12" s="406"/>
      <c r="H12" s="116">
        <v>0</v>
      </c>
      <c r="I12" s="117">
        <v>2</v>
      </c>
      <c r="J12" s="116">
        <f>H12+I12</f>
        <v>2</v>
      </c>
      <c r="K12" s="404" t="s">
        <v>9</v>
      </c>
      <c r="L12" s="406"/>
      <c r="M12" s="14">
        <v>236.24916999999999</v>
      </c>
      <c r="N12" s="395">
        <f>I12*M12</f>
        <v>472.49833999999998</v>
      </c>
      <c r="O12" s="407"/>
      <c r="P12" s="395">
        <f>J12*M12</f>
        <v>472.49833999999998</v>
      </c>
      <c r="Q12" s="396"/>
    </row>
    <row r="13" spans="1:17" ht="25.5" customHeight="1">
      <c r="A13" s="77" t="s">
        <v>98</v>
      </c>
      <c r="B13" s="298" t="s">
        <v>149</v>
      </c>
      <c r="C13" s="403"/>
      <c r="D13" s="299"/>
      <c r="E13" s="405">
        <v>25</v>
      </c>
      <c r="F13" s="405"/>
      <c r="G13" s="405"/>
      <c r="H13" s="116">
        <v>0</v>
      </c>
      <c r="I13" s="117">
        <v>25</v>
      </c>
      <c r="J13" s="116">
        <f>H13+I13</f>
        <v>25</v>
      </c>
      <c r="K13" s="404" t="s">
        <v>9</v>
      </c>
      <c r="L13" s="406"/>
      <c r="M13" s="125">
        <v>564.82873999999993</v>
      </c>
      <c r="N13" s="395">
        <f>I13*M13</f>
        <v>14120.718499999999</v>
      </c>
      <c r="O13" s="407"/>
      <c r="P13" s="395">
        <f>J13*M13</f>
        <v>14120.718499999999</v>
      </c>
      <c r="Q13" s="396"/>
    </row>
    <row r="14" spans="1:17" ht="25.5" customHeight="1">
      <c r="A14" s="438" t="s">
        <v>153</v>
      </c>
      <c r="B14" s="439"/>
      <c r="C14" s="439"/>
      <c r="D14" s="439"/>
      <c r="E14" s="439"/>
      <c r="F14" s="439"/>
      <c r="G14" s="439"/>
      <c r="H14" s="439"/>
      <c r="I14" s="439"/>
      <c r="J14" s="439"/>
      <c r="K14" s="439"/>
      <c r="L14" s="439"/>
      <c r="M14" s="439"/>
      <c r="N14" s="439"/>
      <c r="O14" s="439"/>
      <c r="P14" s="439"/>
      <c r="Q14" s="440"/>
    </row>
    <row r="15" spans="1:17" ht="25.5" customHeight="1">
      <c r="A15" s="131">
        <v>2</v>
      </c>
      <c r="B15" s="452" t="s">
        <v>93</v>
      </c>
      <c r="C15" s="452"/>
      <c r="D15" s="452"/>
      <c r="E15" s="452"/>
      <c r="F15" s="452"/>
      <c r="G15" s="452"/>
      <c r="H15" s="452"/>
      <c r="I15" s="452"/>
      <c r="J15" s="452"/>
      <c r="K15" s="452"/>
      <c r="L15" s="452"/>
      <c r="M15" s="452"/>
      <c r="N15" s="452"/>
      <c r="O15" s="452"/>
      <c r="P15" s="441">
        <f>P16+P17+P18+P19</f>
        <v>0</v>
      </c>
      <c r="Q15" s="442"/>
    </row>
    <row r="16" spans="1:17" ht="25.5" customHeight="1">
      <c r="A16" s="130" t="s">
        <v>60</v>
      </c>
      <c r="B16" s="425" t="s">
        <v>83</v>
      </c>
      <c r="C16" s="426"/>
      <c r="D16" s="427"/>
      <c r="E16" s="404">
        <v>0</v>
      </c>
      <c r="F16" s="405"/>
      <c r="G16" s="406"/>
      <c r="H16" s="136">
        <v>0</v>
      </c>
      <c r="I16" s="11">
        <v>0</v>
      </c>
      <c r="J16" s="136">
        <v>0</v>
      </c>
      <c r="K16" s="404" t="s">
        <v>9</v>
      </c>
      <c r="L16" s="406"/>
      <c r="M16" s="14">
        <v>1.5</v>
      </c>
      <c r="N16" s="395">
        <f>I16*M16</f>
        <v>0</v>
      </c>
      <c r="O16" s="407"/>
      <c r="P16" s="395">
        <f>J16*M16</f>
        <v>0</v>
      </c>
      <c r="Q16" s="396"/>
    </row>
    <row r="17" spans="1:17" ht="50.25" customHeight="1">
      <c r="A17" s="130" t="s">
        <v>63</v>
      </c>
      <c r="B17" s="428" t="s">
        <v>150</v>
      </c>
      <c r="C17" s="429"/>
      <c r="D17" s="430"/>
      <c r="E17" s="404">
        <v>0</v>
      </c>
      <c r="F17" s="405"/>
      <c r="G17" s="406"/>
      <c r="H17" s="116">
        <v>0</v>
      </c>
      <c r="I17" s="117">
        <v>0</v>
      </c>
      <c r="J17" s="116">
        <v>0</v>
      </c>
      <c r="K17" s="404" t="s">
        <v>13</v>
      </c>
      <c r="L17" s="406"/>
      <c r="M17" s="118">
        <v>53.36</v>
      </c>
      <c r="N17" s="395">
        <f>I17*M17</f>
        <v>0</v>
      </c>
      <c r="O17" s="407"/>
      <c r="P17" s="395">
        <f>J17*M17</f>
        <v>0</v>
      </c>
      <c r="Q17" s="396"/>
    </row>
    <row r="18" spans="1:17" ht="38.25" customHeight="1">
      <c r="A18" s="130" t="s">
        <v>99</v>
      </c>
      <c r="B18" s="298" t="s">
        <v>158</v>
      </c>
      <c r="C18" s="403"/>
      <c r="D18" s="299"/>
      <c r="E18" s="404">
        <v>0</v>
      </c>
      <c r="F18" s="405"/>
      <c r="G18" s="406"/>
      <c r="H18" s="136">
        <v>0</v>
      </c>
      <c r="I18" s="11">
        <v>0</v>
      </c>
      <c r="J18" s="136">
        <v>0</v>
      </c>
      <c r="K18" s="404" t="s">
        <v>9</v>
      </c>
      <c r="L18" s="406"/>
      <c r="M18" s="118">
        <v>87.28</v>
      </c>
      <c r="N18" s="395">
        <f>I18*M18</f>
        <v>0</v>
      </c>
      <c r="O18" s="407"/>
      <c r="P18" s="395">
        <f>J18*M18</f>
        <v>0</v>
      </c>
      <c r="Q18" s="396"/>
    </row>
    <row r="19" spans="1:17" ht="25.5" customHeight="1">
      <c r="A19" s="130" t="s">
        <v>100</v>
      </c>
      <c r="B19" s="435" t="s">
        <v>152</v>
      </c>
      <c r="C19" s="436"/>
      <c r="D19" s="437"/>
      <c r="E19" s="404">
        <v>0</v>
      </c>
      <c r="F19" s="405"/>
      <c r="G19" s="406"/>
      <c r="H19" s="136">
        <v>0</v>
      </c>
      <c r="I19" s="11">
        <v>0</v>
      </c>
      <c r="J19" s="136">
        <v>0</v>
      </c>
      <c r="K19" s="404" t="s">
        <v>13</v>
      </c>
      <c r="L19" s="406"/>
      <c r="M19" s="129">
        <v>42.72</v>
      </c>
      <c r="N19" s="395">
        <f>I19*M19</f>
        <v>0</v>
      </c>
      <c r="O19" s="407"/>
      <c r="P19" s="395">
        <f>J19*M19</f>
        <v>0</v>
      </c>
      <c r="Q19" s="396"/>
    </row>
    <row r="20" spans="1:17" ht="21.75" customHeight="1">
      <c r="A20" s="131"/>
      <c r="B20" s="439" t="s">
        <v>154</v>
      </c>
      <c r="C20" s="439"/>
      <c r="D20" s="439"/>
      <c r="E20" s="439"/>
      <c r="F20" s="439"/>
      <c r="G20" s="439"/>
      <c r="H20" s="439"/>
      <c r="I20" s="439"/>
      <c r="J20" s="439"/>
      <c r="K20" s="439"/>
      <c r="L20" s="439"/>
      <c r="M20" s="439"/>
      <c r="N20" s="439"/>
      <c r="O20" s="439"/>
      <c r="P20" s="410"/>
      <c r="Q20" s="411"/>
    </row>
    <row r="21" spans="1:17" ht="17.25" customHeight="1">
      <c r="A21" s="1">
        <v>3</v>
      </c>
      <c r="B21" s="452" t="s">
        <v>93</v>
      </c>
      <c r="C21" s="452"/>
      <c r="D21" s="452"/>
      <c r="E21" s="120"/>
      <c r="F21" s="120"/>
      <c r="G21" s="120"/>
      <c r="H21" s="121"/>
      <c r="I21" s="122"/>
      <c r="J21" s="121"/>
      <c r="K21" s="120"/>
      <c r="L21" s="120"/>
      <c r="M21" s="123"/>
      <c r="N21" s="124"/>
      <c r="O21" s="124"/>
      <c r="P21" s="441">
        <f>P22+P23+P24+P25</f>
        <v>0</v>
      </c>
      <c r="Q21" s="442"/>
    </row>
    <row r="22" spans="1:17" ht="25.5" customHeight="1">
      <c r="A22" s="130" t="s">
        <v>61</v>
      </c>
      <c r="B22" s="425" t="s">
        <v>83</v>
      </c>
      <c r="C22" s="426"/>
      <c r="D22" s="427"/>
      <c r="E22" s="404">
        <v>0</v>
      </c>
      <c r="F22" s="405"/>
      <c r="G22" s="406"/>
      <c r="H22" s="136">
        <v>0</v>
      </c>
      <c r="I22" s="11">
        <v>0</v>
      </c>
      <c r="J22" s="136">
        <v>0</v>
      </c>
      <c r="K22" s="404" t="s">
        <v>9</v>
      </c>
      <c r="L22" s="406"/>
      <c r="M22" s="14">
        <v>1.5</v>
      </c>
      <c r="N22" s="395">
        <f>I22*M22</f>
        <v>0</v>
      </c>
      <c r="O22" s="407"/>
      <c r="P22" s="395">
        <f>J22*M22</f>
        <v>0</v>
      </c>
      <c r="Q22" s="396"/>
    </row>
    <row r="23" spans="1:17" ht="45.75" customHeight="1">
      <c r="A23" s="130" t="s">
        <v>72</v>
      </c>
      <c r="B23" s="428" t="s">
        <v>150</v>
      </c>
      <c r="C23" s="429"/>
      <c r="D23" s="430"/>
      <c r="E23" s="404">
        <v>0</v>
      </c>
      <c r="F23" s="405"/>
      <c r="G23" s="406"/>
      <c r="H23" s="136">
        <v>0</v>
      </c>
      <c r="I23" s="11">
        <v>0</v>
      </c>
      <c r="J23" s="136">
        <v>0</v>
      </c>
      <c r="K23" s="404" t="s">
        <v>13</v>
      </c>
      <c r="L23" s="406"/>
      <c r="M23" s="118">
        <v>53.36</v>
      </c>
      <c r="N23" s="395">
        <f>I23*M23</f>
        <v>0</v>
      </c>
      <c r="O23" s="407"/>
      <c r="P23" s="395">
        <f>J23*M23</f>
        <v>0</v>
      </c>
      <c r="Q23" s="396"/>
    </row>
    <row r="24" spans="1:17" ht="36" customHeight="1">
      <c r="A24" s="130" t="s">
        <v>78</v>
      </c>
      <c r="B24" s="298" t="s">
        <v>158</v>
      </c>
      <c r="C24" s="403"/>
      <c r="D24" s="299"/>
      <c r="E24" s="404">
        <v>0</v>
      </c>
      <c r="F24" s="405"/>
      <c r="G24" s="406"/>
      <c r="H24" s="136">
        <v>0</v>
      </c>
      <c r="I24" s="11">
        <v>0</v>
      </c>
      <c r="J24" s="136">
        <v>0</v>
      </c>
      <c r="K24" s="404" t="s">
        <v>9</v>
      </c>
      <c r="L24" s="406"/>
      <c r="M24" s="118">
        <v>87.28</v>
      </c>
      <c r="N24" s="395">
        <f>I24*M24</f>
        <v>0</v>
      </c>
      <c r="O24" s="407"/>
      <c r="P24" s="395">
        <f>J24*M24</f>
        <v>0</v>
      </c>
      <c r="Q24" s="396"/>
    </row>
    <row r="25" spans="1:17" ht="25.5" customHeight="1">
      <c r="A25" s="130" t="s">
        <v>85</v>
      </c>
      <c r="B25" s="435" t="s">
        <v>152</v>
      </c>
      <c r="C25" s="436"/>
      <c r="D25" s="437"/>
      <c r="E25" s="404">
        <v>0</v>
      </c>
      <c r="F25" s="405"/>
      <c r="G25" s="406"/>
      <c r="H25" s="136">
        <v>0</v>
      </c>
      <c r="I25" s="11">
        <v>0</v>
      </c>
      <c r="J25" s="136">
        <v>0</v>
      </c>
      <c r="K25" s="404" t="s">
        <v>13</v>
      </c>
      <c r="L25" s="406"/>
      <c r="M25" s="128">
        <v>42.72</v>
      </c>
      <c r="N25" s="395">
        <f>I25*M25</f>
        <v>0</v>
      </c>
      <c r="O25" s="407"/>
      <c r="P25" s="395">
        <f>J25*M25</f>
        <v>0</v>
      </c>
      <c r="Q25" s="396"/>
    </row>
    <row r="26" spans="1:17" ht="21" customHeight="1">
      <c r="A26" s="438" t="s">
        <v>147</v>
      </c>
      <c r="B26" s="439"/>
      <c r="C26" s="439"/>
      <c r="D26" s="439"/>
      <c r="E26" s="439"/>
      <c r="F26" s="439"/>
      <c r="G26" s="439"/>
      <c r="H26" s="439"/>
      <c r="I26" s="439"/>
      <c r="J26" s="439"/>
      <c r="K26" s="439"/>
      <c r="L26" s="439"/>
      <c r="M26" s="439"/>
      <c r="N26" s="439"/>
      <c r="O26" s="439"/>
      <c r="P26" s="410"/>
      <c r="Q26" s="411"/>
    </row>
    <row r="27" spans="1:17" ht="15" customHeight="1">
      <c r="A27" s="119">
        <v>4</v>
      </c>
      <c r="B27" s="462" t="s">
        <v>148</v>
      </c>
      <c r="C27" s="452"/>
      <c r="D27" s="452"/>
      <c r="E27" s="452"/>
      <c r="F27" s="452"/>
      <c r="G27" s="452"/>
      <c r="H27" s="452"/>
      <c r="I27" s="452"/>
      <c r="J27" s="452"/>
      <c r="K27" s="452"/>
      <c r="L27" s="452"/>
      <c r="M27" s="452"/>
      <c r="N27" s="452"/>
      <c r="O27" s="452"/>
      <c r="P27" s="408" t="e">
        <f>SUM(P28,P29,P30,P31)</f>
        <v>#REF!</v>
      </c>
      <c r="Q27" s="409"/>
    </row>
    <row r="28" spans="1:17" ht="15.75" customHeight="1">
      <c r="A28" s="77" t="s">
        <v>75</v>
      </c>
      <c r="B28" s="425" t="s">
        <v>83</v>
      </c>
      <c r="C28" s="426"/>
      <c r="D28" s="427"/>
      <c r="E28" s="405">
        <v>1160</v>
      </c>
      <c r="F28" s="405"/>
      <c r="G28" s="406"/>
      <c r="H28" s="116">
        <v>0</v>
      </c>
      <c r="I28" s="117">
        <v>1160</v>
      </c>
      <c r="J28" s="116">
        <f>H28+I28</f>
        <v>1160</v>
      </c>
      <c r="K28" s="404" t="s">
        <v>9</v>
      </c>
      <c r="L28" s="406"/>
      <c r="M28" s="129" t="e">
        <v>#REF!</v>
      </c>
      <c r="N28" s="395" t="e">
        <f>I28*M28</f>
        <v>#REF!</v>
      </c>
      <c r="O28" s="407"/>
      <c r="P28" s="424" t="e">
        <f>J28*M28</f>
        <v>#REF!</v>
      </c>
      <c r="Q28" s="396"/>
    </row>
    <row r="29" spans="1:17" ht="45" customHeight="1">
      <c r="A29" s="77" t="s">
        <v>76</v>
      </c>
      <c r="B29" s="428" t="s">
        <v>150</v>
      </c>
      <c r="C29" s="429"/>
      <c r="D29" s="430"/>
      <c r="E29" s="405">
        <v>469</v>
      </c>
      <c r="F29" s="405"/>
      <c r="G29" s="406"/>
      <c r="H29" s="116">
        <v>0</v>
      </c>
      <c r="I29" s="117">
        <v>469</v>
      </c>
      <c r="J29" s="116">
        <f>H29+I29</f>
        <v>469</v>
      </c>
      <c r="K29" s="404" t="s">
        <v>13</v>
      </c>
      <c r="L29" s="406"/>
      <c r="M29" s="129" t="e">
        <v>#REF!</v>
      </c>
      <c r="N29" s="395" t="e">
        <f>I29*M29</f>
        <v>#REF!</v>
      </c>
      <c r="O29" s="407"/>
      <c r="P29" s="424" t="e">
        <f>J29*M29</f>
        <v>#REF!</v>
      </c>
      <c r="Q29" s="396"/>
    </row>
    <row r="30" spans="1:17" ht="37.5" customHeight="1">
      <c r="A30" s="77" t="s">
        <v>101</v>
      </c>
      <c r="B30" s="298" t="s">
        <v>151</v>
      </c>
      <c r="C30" s="403"/>
      <c r="D30" s="299"/>
      <c r="E30" s="405">
        <v>1020.8</v>
      </c>
      <c r="F30" s="405"/>
      <c r="G30" s="406"/>
      <c r="H30" s="116">
        <v>0</v>
      </c>
      <c r="I30" s="117">
        <v>1020.8</v>
      </c>
      <c r="J30" s="116">
        <f>H30+I30</f>
        <v>1020.8</v>
      </c>
      <c r="K30" s="404" t="s">
        <v>9</v>
      </c>
      <c r="L30" s="406"/>
      <c r="M30" s="129" t="e">
        <v>#REF!</v>
      </c>
      <c r="N30" s="395" t="e">
        <f>I30*M30</f>
        <v>#REF!</v>
      </c>
      <c r="O30" s="407"/>
      <c r="P30" s="424" t="e">
        <f>J30*M30</f>
        <v>#REF!</v>
      </c>
      <c r="Q30" s="396"/>
    </row>
    <row r="31" spans="1:17" ht="27" customHeight="1">
      <c r="A31" s="152" t="s">
        <v>102</v>
      </c>
      <c r="B31" s="414" t="s">
        <v>152</v>
      </c>
      <c r="C31" s="415"/>
      <c r="D31" s="416"/>
      <c r="E31" s="417">
        <v>464</v>
      </c>
      <c r="F31" s="417"/>
      <c r="G31" s="418"/>
      <c r="H31" s="139">
        <v>0</v>
      </c>
      <c r="I31" s="142">
        <v>464</v>
      </c>
      <c r="J31" s="139">
        <f>H31+I31</f>
        <v>464</v>
      </c>
      <c r="K31" s="419" t="s">
        <v>13</v>
      </c>
      <c r="L31" s="418"/>
      <c r="M31" s="129" t="e">
        <v>#REF!</v>
      </c>
      <c r="N31" s="420" t="e">
        <f>I31*M31</f>
        <v>#REF!</v>
      </c>
      <c r="O31" s="421"/>
      <c r="P31" s="422" t="e">
        <f>J31*M31</f>
        <v>#REF!</v>
      </c>
      <c r="Q31" s="423"/>
    </row>
    <row r="32" spans="1:17" ht="27" customHeight="1">
      <c r="A32" s="439" t="s">
        <v>155</v>
      </c>
      <c r="B32" s="439"/>
      <c r="C32" s="439"/>
      <c r="D32" s="439"/>
      <c r="E32" s="439"/>
      <c r="F32" s="439"/>
      <c r="G32" s="439"/>
      <c r="H32" s="439"/>
      <c r="I32" s="439"/>
      <c r="J32" s="439"/>
      <c r="K32" s="439"/>
      <c r="L32" s="439"/>
      <c r="M32" s="439"/>
      <c r="N32" s="439"/>
      <c r="O32" s="439"/>
      <c r="P32" s="439"/>
      <c r="Q32" s="440"/>
    </row>
    <row r="33" spans="1:17" ht="27" customHeight="1">
      <c r="A33" s="134">
        <v>5</v>
      </c>
      <c r="B33" s="457" t="s">
        <v>82</v>
      </c>
      <c r="C33" s="458"/>
      <c r="D33" s="458"/>
      <c r="E33" s="458"/>
      <c r="F33" s="458"/>
      <c r="G33" s="458"/>
      <c r="H33" s="458"/>
      <c r="I33" s="458"/>
      <c r="J33" s="458"/>
      <c r="K33" s="458"/>
      <c r="L33" s="458"/>
      <c r="M33" s="458"/>
      <c r="N33" s="458"/>
      <c r="O33" s="458"/>
      <c r="P33" s="443">
        <f>P34+P35+P36+P37+P38</f>
        <v>0</v>
      </c>
      <c r="Q33" s="444"/>
    </row>
    <row r="34" spans="1:17" ht="27" customHeight="1">
      <c r="A34" s="133" t="s">
        <v>79</v>
      </c>
      <c r="B34" s="414" t="s">
        <v>90</v>
      </c>
      <c r="C34" s="415"/>
      <c r="D34" s="415"/>
      <c r="E34" s="404">
        <v>0</v>
      </c>
      <c r="F34" s="405"/>
      <c r="G34" s="406"/>
      <c r="H34" s="136">
        <v>0</v>
      </c>
      <c r="I34" s="11">
        <v>0</v>
      </c>
      <c r="J34" s="136">
        <v>0</v>
      </c>
      <c r="K34" s="404" t="s">
        <v>70</v>
      </c>
      <c r="L34" s="406"/>
      <c r="M34" s="140">
        <v>4.0999999999999996</v>
      </c>
      <c r="N34" s="395">
        <f>I34*M34</f>
        <v>0</v>
      </c>
      <c r="O34" s="407"/>
      <c r="P34" s="395">
        <f>J34*M34</f>
        <v>0</v>
      </c>
      <c r="Q34" s="396"/>
    </row>
    <row r="35" spans="1:17" ht="27" customHeight="1">
      <c r="A35" s="138" t="s">
        <v>80</v>
      </c>
      <c r="B35" s="428" t="s">
        <v>156</v>
      </c>
      <c r="C35" s="429"/>
      <c r="D35" s="430"/>
      <c r="E35" s="404">
        <v>0</v>
      </c>
      <c r="F35" s="405"/>
      <c r="G35" s="406"/>
      <c r="H35" s="136">
        <v>0</v>
      </c>
      <c r="I35" s="11">
        <v>0</v>
      </c>
      <c r="J35" s="136">
        <v>0</v>
      </c>
      <c r="K35" s="404" t="s">
        <v>13</v>
      </c>
      <c r="L35" s="406"/>
      <c r="M35" s="14">
        <v>101.32</v>
      </c>
      <c r="N35" s="395">
        <f>I35*M35</f>
        <v>0</v>
      </c>
      <c r="O35" s="407"/>
      <c r="P35" s="395">
        <f>J35*M35</f>
        <v>0</v>
      </c>
      <c r="Q35" s="396"/>
    </row>
    <row r="36" spans="1:17" ht="27" customHeight="1">
      <c r="A36" s="138" t="s">
        <v>81</v>
      </c>
      <c r="B36" s="432" t="s">
        <v>157</v>
      </c>
      <c r="C36" s="433"/>
      <c r="D36" s="434"/>
      <c r="E36" s="404">
        <v>0</v>
      </c>
      <c r="F36" s="405"/>
      <c r="G36" s="406"/>
      <c r="H36" s="136">
        <v>0</v>
      </c>
      <c r="I36" s="11">
        <v>0</v>
      </c>
      <c r="J36" s="136">
        <v>0</v>
      </c>
      <c r="K36" s="404" t="s">
        <v>14</v>
      </c>
      <c r="L36" s="406"/>
      <c r="M36" s="14">
        <v>2231.38</v>
      </c>
      <c r="N36" s="395">
        <f>I36*M36</f>
        <v>0</v>
      </c>
      <c r="O36" s="407"/>
      <c r="P36" s="395">
        <f>J36*M36</f>
        <v>0</v>
      </c>
      <c r="Q36" s="396"/>
    </row>
    <row r="37" spans="1:17" ht="27" customHeight="1">
      <c r="A37" s="138" t="s">
        <v>84</v>
      </c>
      <c r="B37" s="428" t="s">
        <v>92</v>
      </c>
      <c r="C37" s="429"/>
      <c r="D37" s="430"/>
      <c r="E37" s="404">
        <v>0</v>
      </c>
      <c r="F37" s="405"/>
      <c r="G37" s="406"/>
      <c r="H37" s="136">
        <v>0</v>
      </c>
      <c r="I37" s="11">
        <v>0</v>
      </c>
      <c r="J37" s="136">
        <v>0</v>
      </c>
      <c r="K37" s="404" t="s">
        <v>14</v>
      </c>
      <c r="L37" s="406"/>
      <c r="M37" s="14">
        <v>1245.5899999999999</v>
      </c>
      <c r="N37" s="395">
        <f>I37*M37</f>
        <v>0</v>
      </c>
      <c r="O37" s="407"/>
      <c r="P37" s="395">
        <f>J37*M37</f>
        <v>0</v>
      </c>
      <c r="Q37" s="396"/>
    </row>
    <row r="38" spans="1:17" ht="27" customHeight="1">
      <c r="A38" s="137" t="s">
        <v>103</v>
      </c>
      <c r="B38" s="432" t="s">
        <v>91</v>
      </c>
      <c r="C38" s="433"/>
      <c r="D38" s="434"/>
      <c r="E38" s="404">
        <v>0</v>
      </c>
      <c r="F38" s="405"/>
      <c r="G38" s="406"/>
      <c r="H38" s="136">
        <v>0</v>
      </c>
      <c r="I38" s="11">
        <v>0</v>
      </c>
      <c r="J38" s="136">
        <v>0</v>
      </c>
      <c r="K38" s="404" t="s">
        <v>70</v>
      </c>
      <c r="L38" s="406"/>
      <c r="M38" s="132">
        <v>39.43</v>
      </c>
      <c r="N38" s="395">
        <f>I38*M38</f>
        <v>0</v>
      </c>
      <c r="O38" s="407"/>
      <c r="P38" s="395">
        <f>J38*M38</f>
        <v>0</v>
      </c>
      <c r="Q38" s="396"/>
    </row>
    <row r="39" spans="1:17" ht="27" customHeight="1">
      <c r="A39" s="135">
        <v>6</v>
      </c>
      <c r="B39" s="453" t="s">
        <v>93</v>
      </c>
      <c r="C39" s="454"/>
      <c r="D39" s="454"/>
      <c r="E39" s="454"/>
      <c r="F39" s="454"/>
      <c r="G39" s="454"/>
      <c r="H39" s="454"/>
      <c r="I39" s="454"/>
      <c r="J39" s="455"/>
      <c r="K39" s="455"/>
      <c r="L39" s="455"/>
      <c r="M39" s="455"/>
      <c r="N39" s="455"/>
      <c r="O39" s="456"/>
      <c r="P39" s="443">
        <f>P40+P41+P42+P43</f>
        <v>0</v>
      </c>
      <c r="Q39" s="444"/>
    </row>
    <row r="40" spans="1:17" ht="21.75" customHeight="1">
      <c r="A40" s="150" t="s">
        <v>88</v>
      </c>
      <c r="B40" s="428" t="s">
        <v>83</v>
      </c>
      <c r="C40" s="429"/>
      <c r="D40" s="430"/>
      <c r="E40" s="404">
        <v>0</v>
      </c>
      <c r="F40" s="405"/>
      <c r="G40" s="406"/>
      <c r="H40" s="136">
        <v>0</v>
      </c>
      <c r="I40" s="11">
        <v>0</v>
      </c>
      <c r="J40" s="136">
        <v>0</v>
      </c>
      <c r="K40" s="404" t="s">
        <v>9</v>
      </c>
      <c r="L40" s="406"/>
      <c r="M40" s="129">
        <v>1.5</v>
      </c>
      <c r="N40" s="395">
        <f>I40*M40</f>
        <v>0</v>
      </c>
      <c r="O40" s="407"/>
      <c r="P40" s="395">
        <f>J40*M40</f>
        <v>0</v>
      </c>
      <c r="Q40" s="396"/>
    </row>
    <row r="41" spans="1:17" ht="48.75" customHeight="1">
      <c r="A41" s="143" t="s">
        <v>89</v>
      </c>
      <c r="B41" s="433" t="s">
        <v>150</v>
      </c>
      <c r="C41" s="433"/>
      <c r="D41" s="433"/>
      <c r="E41" s="404">
        <v>0</v>
      </c>
      <c r="F41" s="405"/>
      <c r="G41" s="406"/>
      <c r="H41" s="136">
        <v>0</v>
      </c>
      <c r="I41" s="11">
        <v>0</v>
      </c>
      <c r="J41" s="136">
        <v>0</v>
      </c>
      <c r="K41" s="404" t="s">
        <v>13</v>
      </c>
      <c r="L41" s="406"/>
      <c r="M41" s="129">
        <v>53.36</v>
      </c>
      <c r="N41" s="395">
        <f>I41*M41</f>
        <v>0</v>
      </c>
      <c r="O41" s="407"/>
      <c r="P41" s="395">
        <f>J41*M41</f>
        <v>0</v>
      </c>
      <c r="Q41" s="396"/>
    </row>
    <row r="42" spans="1:17" ht="35.25" customHeight="1">
      <c r="A42" s="149" t="s">
        <v>104</v>
      </c>
      <c r="B42" s="298" t="s">
        <v>158</v>
      </c>
      <c r="C42" s="403"/>
      <c r="D42" s="299"/>
      <c r="E42" s="404">
        <v>0</v>
      </c>
      <c r="F42" s="405"/>
      <c r="G42" s="406"/>
      <c r="H42" s="136">
        <v>0</v>
      </c>
      <c r="I42" s="11">
        <v>0</v>
      </c>
      <c r="J42" s="136">
        <v>0</v>
      </c>
      <c r="K42" s="404" t="s">
        <v>9</v>
      </c>
      <c r="L42" s="406"/>
      <c r="M42" s="129">
        <v>87.28</v>
      </c>
      <c r="N42" s="395">
        <f>I42*M42</f>
        <v>0</v>
      </c>
      <c r="O42" s="407"/>
      <c r="P42" s="395">
        <f>J42*M42</f>
        <v>0</v>
      </c>
      <c r="Q42" s="396"/>
    </row>
    <row r="43" spans="1:17" ht="27" customHeight="1">
      <c r="A43" s="151" t="s">
        <v>105</v>
      </c>
      <c r="B43" s="435" t="s">
        <v>152</v>
      </c>
      <c r="C43" s="436"/>
      <c r="D43" s="437"/>
      <c r="E43" s="404">
        <v>0</v>
      </c>
      <c r="F43" s="405"/>
      <c r="G43" s="406"/>
      <c r="H43" s="136">
        <v>0</v>
      </c>
      <c r="I43" s="11">
        <v>0</v>
      </c>
      <c r="J43" s="136">
        <v>0</v>
      </c>
      <c r="K43" s="419" t="s">
        <v>13</v>
      </c>
      <c r="L43" s="418"/>
      <c r="M43" s="141">
        <v>42.72</v>
      </c>
      <c r="N43" s="412">
        <f>I43*M43</f>
        <v>0</v>
      </c>
      <c r="O43" s="431"/>
      <c r="P43" s="412">
        <f>J43*M43</f>
        <v>0</v>
      </c>
      <c r="Q43" s="413"/>
    </row>
    <row r="44" spans="1:17">
      <c r="A44" s="501" t="s">
        <v>130</v>
      </c>
      <c r="B44" s="502"/>
      <c r="C44" s="502"/>
      <c r="D44" s="502"/>
      <c r="E44" s="502"/>
      <c r="F44" s="502"/>
      <c r="G44" s="502"/>
      <c r="H44" s="502"/>
      <c r="I44" s="503"/>
      <c r="J44" s="507" t="s">
        <v>131</v>
      </c>
      <c r="K44" s="507"/>
      <c r="L44" s="507"/>
      <c r="M44" s="508"/>
      <c r="N44" s="511" t="s">
        <v>132</v>
      </c>
      <c r="O44" s="512"/>
      <c r="P44" s="513" t="e">
        <f>P11+P27</f>
        <v>#REF!</v>
      </c>
      <c r="Q44" s="514"/>
    </row>
    <row r="45" spans="1:17">
      <c r="A45" s="504"/>
      <c r="B45" s="505"/>
      <c r="C45" s="505"/>
      <c r="D45" s="505"/>
      <c r="E45" s="505"/>
      <c r="F45" s="505"/>
      <c r="G45" s="505"/>
      <c r="H45" s="505"/>
      <c r="I45" s="506"/>
      <c r="J45" s="509"/>
      <c r="K45" s="509"/>
      <c r="L45" s="509"/>
      <c r="M45" s="510"/>
      <c r="N45" s="445" t="s">
        <v>133</v>
      </c>
      <c r="O45" s="446"/>
      <c r="P45" s="446"/>
      <c r="Q45" s="447"/>
    </row>
    <row r="46" spans="1:17">
      <c r="A46" s="463" t="s">
        <v>134</v>
      </c>
      <c r="B46" s="464"/>
      <c r="C46" s="465"/>
      <c r="D46" s="472" t="s">
        <v>135</v>
      </c>
      <c r="E46" s="473"/>
      <c r="F46" s="473"/>
      <c r="G46" s="474"/>
      <c r="H46" s="475" t="s">
        <v>136</v>
      </c>
      <c r="I46" s="476"/>
      <c r="J46" s="464" t="s">
        <v>137</v>
      </c>
      <c r="K46" s="464"/>
      <c r="L46" s="464"/>
      <c r="M46" s="465"/>
      <c r="N46" s="481" t="s">
        <v>138</v>
      </c>
      <c r="O46" s="482"/>
      <c r="P46" s="482"/>
      <c r="Q46" s="483"/>
    </row>
    <row r="47" spans="1:17">
      <c r="A47" s="466"/>
      <c r="B47" s="467"/>
      <c r="C47" s="468"/>
      <c r="D47" s="367" t="s">
        <v>137</v>
      </c>
      <c r="E47" s="368"/>
      <c r="F47" s="368"/>
      <c r="G47" s="369"/>
      <c r="H47" s="477"/>
      <c r="I47" s="478"/>
      <c r="J47" s="467"/>
      <c r="K47" s="467"/>
      <c r="L47" s="467"/>
      <c r="M47" s="468"/>
      <c r="N47" s="484"/>
      <c r="O47" s="485"/>
      <c r="P47" s="485"/>
      <c r="Q47" s="486"/>
    </row>
    <row r="48" spans="1:17">
      <c r="A48" s="466"/>
      <c r="B48" s="467"/>
      <c r="C48" s="468"/>
      <c r="D48" s="487"/>
      <c r="E48" s="488"/>
      <c r="F48" s="488"/>
      <c r="G48" s="126"/>
      <c r="H48" s="477"/>
      <c r="I48" s="478"/>
      <c r="J48" s="467"/>
      <c r="K48" s="467"/>
      <c r="L48" s="467"/>
      <c r="M48" s="468"/>
      <c r="N48" s="491" t="e">
        <f>P44</f>
        <v>#REF!</v>
      </c>
      <c r="O48" s="492"/>
      <c r="P48" s="492"/>
      <c r="Q48" s="493"/>
    </row>
    <row r="49" spans="1:17">
      <c r="A49" s="466"/>
      <c r="B49" s="467"/>
      <c r="C49" s="468"/>
      <c r="D49" s="487"/>
      <c r="E49" s="488"/>
      <c r="F49" s="488"/>
      <c r="G49" s="126"/>
      <c r="H49" s="477"/>
      <c r="I49" s="478"/>
      <c r="J49" s="467"/>
      <c r="K49" s="467"/>
      <c r="L49" s="467"/>
      <c r="M49" s="468"/>
      <c r="N49" s="494"/>
      <c r="O49" s="495"/>
      <c r="P49" s="495"/>
      <c r="Q49" s="496"/>
    </row>
    <row r="50" spans="1:17">
      <c r="A50" s="466"/>
      <c r="B50" s="467"/>
      <c r="C50" s="468"/>
      <c r="D50" s="487"/>
      <c r="E50" s="488"/>
      <c r="F50" s="488"/>
      <c r="G50" s="126"/>
      <c r="H50" s="477"/>
      <c r="I50" s="478"/>
      <c r="J50" s="467"/>
      <c r="K50" s="467"/>
      <c r="L50" s="467"/>
      <c r="M50" s="468"/>
      <c r="N50" s="494"/>
      <c r="O50" s="495"/>
      <c r="P50" s="495"/>
      <c r="Q50" s="496"/>
    </row>
    <row r="51" spans="1:17">
      <c r="A51" s="469"/>
      <c r="B51" s="470"/>
      <c r="C51" s="471"/>
      <c r="D51" s="489"/>
      <c r="E51" s="490"/>
      <c r="F51" s="490"/>
      <c r="G51" s="127"/>
      <c r="H51" s="479"/>
      <c r="I51" s="480"/>
      <c r="J51" s="470"/>
      <c r="K51" s="470"/>
      <c r="L51" s="470"/>
      <c r="M51" s="471"/>
      <c r="N51" s="494"/>
      <c r="O51" s="495"/>
      <c r="P51" s="495"/>
      <c r="Q51" s="496"/>
    </row>
    <row r="52" spans="1:17">
      <c r="A52" s="500" t="s">
        <v>139</v>
      </c>
      <c r="B52" s="460"/>
      <c r="C52" s="461"/>
      <c r="D52" s="459" t="s">
        <v>140</v>
      </c>
      <c r="E52" s="460"/>
      <c r="F52" s="460"/>
      <c r="G52" s="461"/>
      <c r="H52" s="459" t="s">
        <v>141</v>
      </c>
      <c r="I52" s="461"/>
      <c r="J52" s="460" t="s">
        <v>142</v>
      </c>
      <c r="K52" s="460"/>
      <c r="L52" s="460"/>
      <c r="M52" s="461"/>
      <c r="N52" s="497"/>
      <c r="O52" s="498"/>
      <c r="P52" s="498"/>
      <c r="Q52" s="499"/>
    </row>
    <row r="53" spans="1:17">
      <c r="A53" s="144"/>
      <c r="I53" s="145"/>
    </row>
    <row r="54" spans="1:17">
      <c r="A54" s="144"/>
      <c r="I54" s="145"/>
    </row>
    <row r="55" spans="1:17">
      <c r="A55" s="144"/>
      <c r="I55" s="145"/>
    </row>
    <row r="56" spans="1:17">
      <c r="A56" s="144"/>
      <c r="I56" s="145"/>
    </row>
    <row r="57" spans="1:17">
      <c r="A57" s="144"/>
      <c r="I57" s="145"/>
    </row>
    <row r="58" spans="1:17">
      <c r="A58" s="144"/>
      <c r="I58" s="145"/>
    </row>
    <row r="59" spans="1:17">
      <c r="A59" s="144"/>
      <c r="I59" s="145"/>
    </row>
    <row r="60" spans="1:17">
      <c r="A60" s="144"/>
      <c r="I60" s="145"/>
    </row>
    <row r="61" spans="1:17">
      <c r="A61" s="144"/>
      <c r="I61" s="145"/>
    </row>
    <row r="62" spans="1:17">
      <c r="A62" s="144"/>
      <c r="I62" s="145"/>
    </row>
    <row r="63" spans="1:17">
      <c r="A63" s="144"/>
      <c r="I63" s="145"/>
    </row>
    <row r="64" spans="1:17">
      <c r="A64" s="146"/>
      <c r="B64" s="147"/>
      <c r="C64" s="147"/>
      <c r="D64" s="147"/>
      <c r="E64" s="147"/>
      <c r="F64" s="147"/>
      <c r="G64" s="147"/>
      <c r="H64" s="147"/>
      <c r="I64" s="148"/>
    </row>
  </sheetData>
  <mergeCells count="189">
    <mergeCell ref="D52:G52"/>
    <mergeCell ref="H52:I52"/>
    <mergeCell ref="J52:M52"/>
    <mergeCell ref="B13:D13"/>
    <mergeCell ref="E13:G13"/>
    <mergeCell ref="K13:L13"/>
    <mergeCell ref="A26:O26"/>
    <mergeCell ref="B27:O27"/>
    <mergeCell ref="E22:G22"/>
    <mergeCell ref="E23:G23"/>
    <mergeCell ref="A46:C51"/>
    <mergeCell ref="D46:G46"/>
    <mergeCell ref="H46:I51"/>
    <mergeCell ref="J46:M51"/>
    <mergeCell ref="N46:Q47"/>
    <mergeCell ref="D47:G47"/>
    <mergeCell ref="D48:F51"/>
    <mergeCell ref="N48:Q48"/>
    <mergeCell ref="N49:Q52"/>
    <mergeCell ref="A52:C52"/>
    <mergeCell ref="A44:I45"/>
    <mergeCell ref="J44:M45"/>
    <mergeCell ref="N44:O44"/>
    <mergeCell ref="P44:Q44"/>
    <mergeCell ref="N45:Q45"/>
    <mergeCell ref="B11:O11"/>
    <mergeCell ref="P11:Q11"/>
    <mergeCell ref="B16:D16"/>
    <mergeCell ref="B17:D17"/>
    <mergeCell ref="B18:D18"/>
    <mergeCell ref="B19:D19"/>
    <mergeCell ref="B21:D21"/>
    <mergeCell ref="B22:D22"/>
    <mergeCell ref="B23:D23"/>
    <mergeCell ref="B24:D24"/>
    <mergeCell ref="B20:O20"/>
    <mergeCell ref="E19:G19"/>
    <mergeCell ref="E24:G24"/>
    <mergeCell ref="K19:L19"/>
    <mergeCell ref="K22:L22"/>
    <mergeCell ref="B25:D25"/>
    <mergeCell ref="B15:O15"/>
    <mergeCell ref="B39:O39"/>
    <mergeCell ref="B33:O33"/>
    <mergeCell ref="B34:D34"/>
    <mergeCell ref="B35:D35"/>
    <mergeCell ref="B36:D36"/>
    <mergeCell ref="B37:D37"/>
    <mergeCell ref="B38:D38"/>
    <mergeCell ref="E25:G25"/>
    <mergeCell ref="B40:D40"/>
    <mergeCell ref="B41:D41"/>
    <mergeCell ref="B42:D42"/>
    <mergeCell ref="B43:D43"/>
    <mergeCell ref="A14:Q14"/>
    <mergeCell ref="P15:Q15"/>
    <mergeCell ref="P21:Q21"/>
    <mergeCell ref="P33:Q33"/>
    <mergeCell ref="A32:Q32"/>
    <mergeCell ref="P39:Q39"/>
    <mergeCell ref="E16:G16"/>
    <mergeCell ref="E17:G17"/>
    <mergeCell ref="E18:G18"/>
    <mergeCell ref="E34:G34"/>
    <mergeCell ref="E36:G36"/>
    <mergeCell ref="E35:G35"/>
    <mergeCell ref="E37:G37"/>
    <mergeCell ref="E38:G38"/>
    <mergeCell ref="E40:G40"/>
    <mergeCell ref="E41:G41"/>
    <mergeCell ref="E42:G42"/>
    <mergeCell ref="E43:G43"/>
    <mergeCell ref="K42:L42"/>
    <mergeCell ref="K43:L43"/>
    <mergeCell ref="N16:O16"/>
    <mergeCell ref="N17:O17"/>
    <mergeCell ref="N18:O18"/>
    <mergeCell ref="N19:O19"/>
    <mergeCell ref="N22:O22"/>
    <mergeCell ref="N23:O23"/>
    <mergeCell ref="N34:O34"/>
    <mergeCell ref="N37:O37"/>
    <mergeCell ref="N38:O38"/>
    <mergeCell ref="N40:O40"/>
    <mergeCell ref="N41:O41"/>
    <mergeCell ref="N42:O42"/>
    <mergeCell ref="N43:O43"/>
    <mergeCell ref="K16:L16"/>
    <mergeCell ref="K17:L17"/>
    <mergeCell ref="K18:L18"/>
    <mergeCell ref="K23:L23"/>
    <mergeCell ref="K24:L24"/>
    <mergeCell ref="K25:L25"/>
    <mergeCell ref="K34:L34"/>
    <mergeCell ref="K35:L35"/>
    <mergeCell ref="K36:L36"/>
    <mergeCell ref="N35:O35"/>
    <mergeCell ref="N36:O36"/>
    <mergeCell ref="P34:Q34"/>
    <mergeCell ref="P35:Q35"/>
    <mergeCell ref="P36:Q36"/>
    <mergeCell ref="K37:L37"/>
    <mergeCell ref="K38:L38"/>
    <mergeCell ref="K40:L40"/>
    <mergeCell ref="K41:L41"/>
    <mergeCell ref="P37:Q37"/>
    <mergeCell ref="P38:Q38"/>
    <mergeCell ref="P40:Q40"/>
    <mergeCell ref="P41:Q41"/>
    <mergeCell ref="P42:Q42"/>
    <mergeCell ref="P43:Q43"/>
    <mergeCell ref="P20:Q20"/>
    <mergeCell ref="P3:Q3"/>
    <mergeCell ref="B31:D31"/>
    <mergeCell ref="E31:G31"/>
    <mergeCell ref="K31:L31"/>
    <mergeCell ref="N31:O31"/>
    <mergeCell ref="P31:Q31"/>
    <mergeCell ref="B30:D30"/>
    <mergeCell ref="E30:G30"/>
    <mergeCell ref="K30:L30"/>
    <mergeCell ref="N30:O30"/>
    <mergeCell ref="P30:Q30"/>
    <mergeCell ref="B28:D28"/>
    <mergeCell ref="E28:G28"/>
    <mergeCell ref="K28:L28"/>
    <mergeCell ref="N28:O28"/>
    <mergeCell ref="P28:Q28"/>
    <mergeCell ref="B29:D29"/>
    <mergeCell ref="E29:G29"/>
    <mergeCell ref="K29:L29"/>
    <mergeCell ref="N29:O29"/>
    <mergeCell ref="P29:Q29"/>
    <mergeCell ref="B12:D12"/>
    <mergeCell ref="E12:G12"/>
    <mergeCell ref="K12:L12"/>
    <mergeCell ref="N12:O12"/>
    <mergeCell ref="P12:Q12"/>
    <mergeCell ref="N13:O13"/>
    <mergeCell ref="P13:Q13"/>
    <mergeCell ref="P27:Q27"/>
    <mergeCell ref="P26:Q26"/>
    <mergeCell ref="P19:Q19"/>
    <mergeCell ref="N24:O24"/>
    <mergeCell ref="N25:O25"/>
    <mergeCell ref="P22:Q22"/>
    <mergeCell ref="P23:Q23"/>
    <mergeCell ref="P24:Q24"/>
    <mergeCell ref="P25:Q25"/>
    <mergeCell ref="N9:Q9"/>
    <mergeCell ref="E10:G10"/>
    <mergeCell ref="N10:O10"/>
    <mergeCell ref="P10:Q10"/>
    <mergeCell ref="P16:Q16"/>
    <mergeCell ref="P17:Q17"/>
    <mergeCell ref="P18:Q18"/>
    <mergeCell ref="P7:Q7"/>
    <mergeCell ref="J8:K8"/>
    <mergeCell ref="L8:M8"/>
    <mergeCell ref="N8:O8"/>
    <mergeCell ref="P8:Q8"/>
    <mergeCell ref="N7:O7"/>
    <mergeCell ref="A9:A10"/>
    <mergeCell ref="B9:D10"/>
    <mergeCell ref="E9:G9"/>
    <mergeCell ref="H9:J9"/>
    <mergeCell ref="K9:L10"/>
    <mergeCell ref="A7:D8"/>
    <mergeCell ref="E7:G8"/>
    <mergeCell ref="H7:I8"/>
    <mergeCell ref="J7:K7"/>
    <mergeCell ref="L7:M7"/>
    <mergeCell ref="M9:M10"/>
    <mergeCell ref="P4:Q5"/>
    <mergeCell ref="A5:D6"/>
    <mergeCell ref="E5:G6"/>
    <mergeCell ref="H5:I6"/>
    <mergeCell ref="J5:O5"/>
    <mergeCell ref="J6:Q6"/>
    <mergeCell ref="A1:Q1"/>
    <mergeCell ref="A3:D4"/>
    <mergeCell ref="E3:G3"/>
    <mergeCell ref="H3:I3"/>
    <mergeCell ref="J3:L3"/>
    <mergeCell ref="M3:O3"/>
    <mergeCell ref="E4:G4"/>
    <mergeCell ref="H4:I4"/>
    <mergeCell ref="J4:L4"/>
    <mergeCell ref="M4:O4"/>
  </mergeCells>
  <pageMargins left="0.511811024" right="0.511811024" top="0.78740157499999996" bottom="0.78740157499999996" header="0.31496062000000002" footer="0.31496062000000002"/>
  <pageSetup paperSize="9" orientation="portrait" horizontalDpi="300" verticalDpi="300" r:id="rId1"/>
  <ignoredErrors>
    <ignoredError sqref="P39" formula="1"/>
    <ignoredError sqref="M4"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2675B-A423-46AB-9F29-E9C85D5510EB}">
  <dimension ref="A1:Q52"/>
  <sheetViews>
    <sheetView workbookViewId="0">
      <selection activeCell="E5" sqref="E5:G8"/>
    </sheetView>
  </sheetViews>
  <sheetFormatPr defaultRowHeight="13.2"/>
  <cols>
    <col min="4" max="4" width="46.5546875" customWidth="1"/>
    <col min="7" max="7" width="6.5546875" customWidth="1"/>
    <col min="12" max="12" width="7" customWidth="1"/>
    <col min="13" max="13" width="11.6640625" customWidth="1"/>
  </cols>
  <sheetData>
    <row r="1" spans="1:17" ht="15.6">
      <c r="A1" s="358" t="s">
        <v>106</v>
      </c>
      <c r="B1" s="359"/>
      <c r="C1" s="359"/>
      <c r="D1" s="359"/>
      <c r="E1" s="359"/>
      <c r="F1" s="359"/>
      <c r="G1" s="359"/>
      <c r="H1" s="359"/>
      <c r="I1" s="359"/>
      <c r="J1" s="359"/>
      <c r="K1" s="359"/>
      <c r="L1" s="359"/>
      <c r="M1" s="359"/>
      <c r="N1" s="359"/>
      <c r="O1" s="359"/>
      <c r="P1" s="359"/>
      <c r="Q1" s="360"/>
    </row>
    <row r="2" spans="1:17">
      <c r="A2" s="110"/>
      <c r="B2" s="111"/>
      <c r="C2" s="111"/>
      <c r="D2" s="111"/>
      <c r="E2" s="111"/>
      <c r="F2" s="111"/>
      <c r="G2" s="111"/>
      <c r="H2" s="111"/>
      <c r="I2" s="111"/>
      <c r="J2" s="111"/>
      <c r="K2" s="111"/>
      <c r="L2" s="111"/>
      <c r="M2" s="112"/>
      <c r="N2" s="111"/>
      <c r="O2" s="113"/>
      <c r="P2" s="111"/>
      <c r="Q2" s="114"/>
    </row>
    <row r="3" spans="1:17">
      <c r="A3" s="361" t="s">
        <v>143</v>
      </c>
      <c r="B3" s="362"/>
      <c r="C3" s="362"/>
      <c r="D3" s="363"/>
      <c r="E3" s="367" t="s">
        <v>107</v>
      </c>
      <c r="F3" s="368"/>
      <c r="G3" s="369"/>
      <c r="H3" s="370" t="s">
        <v>108</v>
      </c>
      <c r="I3" s="371"/>
      <c r="J3" s="372" t="s">
        <v>109</v>
      </c>
      <c r="K3" s="373"/>
      <c r="L3" s="374"/>
      <c r="M3" s="367" t="s">
        <v>110</v>
      </c>
      <c r="N3" s="368"/>
      <c r="O3" s="369"/>
      <c r="P3" s="388" t="s">
        <v>111</v>
      </c>
      <c r="Q3" s="389"/>
    </row>
    <row r="4" spans="1:17">
      <c r="A4" s="364"/>
      <c r="B4" s="365"/>
      <c r="C4" s="365"/>
      <c r="D4" s="366"/>
      <c r="E4" s="334" t="s">
        <v>160</v>
      </c>
      <c r="F4" s="375"/>
      <c r="G4" s="335"/>
      <c r="H4" s="334" t="s">
        <v>113</v>
      </c>
      <c r="I4" s="335"/>
      <c r="J4" s="334" t="s">
        <v>113</v>
      </c>
      <c r="K4" s="375"/>
      <c r="L4" s="335"/>
      <c r="M4" s="334" t="s">
        <v>160</v>
      </c>
      <c r="N4" s="375"/>
      <c r="O4" s="335"/>
      <c r="P4" s="332" t="s">
        <v>112</v>
      </c>
      <c r="Q4" s="333"/>
    </row>
    <row r="5" spans="1:17">
      <c r="A5" s="336" t="s">
        <v>144</v>
      </c>
      <c r="B5" s="337"/>
      <c r="C5" s="337"/>
      <c r="D5" s="338"/>
      <c r="E5" s="342" t="s">
        <v>114</v>
      </c>
      <c r="F5" s="343"/>
      <c r="G5" s="344"/>
      <c r="H5" s="348" t="s">
        <v>115</v>
      </c>
      <c r="I5" s="349"/>
      <c r="J5" s="352" t="s">
        <v>161</v>
      </c>
      <c r="K5" s="353"/>
      <c r="L5" s="353"/>
      <c r="M5" s="353"/>
      <c r="N5" s="353"/>
      <c r="O5" s="354"/>
      <c r="P5" s="334"/>
      <c r="Q5" s="335"/>
    </row>
    <row r="6" spans="1:17">
      <c r="A6" s="339"/>
      <c r="B6" s="340"/>
      <c r="C6" s="340"/>
      <c r="D6" s="341"/>
      <c r="E6" s="345"/>
      <c r="F6" s="346"/>
      <c r="G6" s="347"/>
      <c r="H6" s="350"/>
      <c r="I6" s="351"/>
      <c r="J6" s="355" t="s">
        <v>162</v>
      </c>
      <c r="K6" s="356"/>
      <c r="L6" s="356"/>
      <c r="M6" s="356"/>
      <c r="N6" s="356"/>
      <c r="O6" s="356"/>
      <c r="P6" s="356"/>
      <c r="Q6" s="357"/>
    </row>
    <row r="7" spans="1:17">
      <c r="A7" s="361" t="s">
        <v>145</v>
      </c>
      <c r="B7" s="362"/>
      <c r="C7" s="362"/>
      <c r="D7" s="363"/>
      <c r="E7" s="342" t="s">
        <v>116</v>
      </c>
      <c r="F7" s="343"/>
      <c r="G7" s="344"/>
      <c r="H7" s="387">
        <v>44637</v>
      </c>
      <c r="I7" s="344"/>
      <c r="J7" s="388" t="s">
        <v>117</v>
      </c>
      <c r="K7" s="389"/>
      <c r="L7" s="388" t="s">
        <v>118</v>
      </c>
      <c r="M7" s="389"/>
      <c r="N7" s="388" t="s">
        <v>119</v>
      </c>
      <c r="O7" s="389"/>
      <c r="P7" s="388" t="s">
        <v>120</v>
      </c>
      <c r="Q7" s="389"/>
    </row>
    <row r="8" spans="1:17">
      <c r="A8" s="364"/>
      <c r="B8" s="365"/>
      <c r="C8" s="365"/>
      <c r="D8" s="366"/>
      <c r="E8" s="345"/>
      <c r="F8" s="346"/>
      <c r="G8" s="347"/>
      <c r="H8" s="345"/>
      <c r="I8" s="347"/>
      <c r="J8" s="397">
        <v>536144.82999999996</v>
      </c>
      <c r="K8" s="398"/>
      <c r="L8" s="399">
        <v>385867.69</v>
      </c>
      <c r="M8" s="400"/>
      <c r="N8" s="401">
        <f>P44</f>
        <v>104243.75380000001</v>
      </c>
      <c r="O8" s="402"/>
      <c r="P8" s="401">
        <f>L8-N8</f>
        <v>281623.9362</v>
      </c>
      <c r="Q8" s="402"/>
    </row>
    <row r="9" spans="1:17">
      <c r="A9" s="376" t="s">
        <v>0</v>
      </c>
      <c r="B9" s="378" t="s">
        <v>121</v>
      </c>
      <c r="C9" s="379"/>
      <c r="D9" s="380"/>
      <c r="E9" s="378" t="s">
        <v>122</v>
      </c>
      <c r="F9" s="379"/>
      <c r="G9" s="380"/>
      <c r="H9" s="384" t="s">
        <v>123</v>
      </c>
      <c r="I9" s="385"/>
      <c r="J9" s="386"/>
      <c r="K9" s="378" t="s">
        <v>14</v>
      </c>
      <c r="L9" s="380"/>
      <c r="M9" s="390" t="s">
        <v>124</v>
      </c>
      <c r="N9" s="392" t="s">
        <v>125</v>
      </c>
      <c r="O9" s="393"/>
      <c r="P9" s="393"/>
      <c r="Q9" s="394"/>
    </row>
    <row r="10" spans="1:17" ht="24">
      <c r="A10" s="377"/>
      <c r="B10" s="381"/>
      <c r="C10" s="382"/>
      <c r="D10" s="383"/>
      <c r="E10" s="381" t="s">
        <v>126</v>
      </c>
      <c r="F10" s="382"/>
      <c r="G10" s="383"/>
      <c r="H10" s="115" t="s">
        <v>127</v>
      </c>
      <c r="I10" s="115" t="s">
        <v>128</v>
      </c>
      <c r="J10" s="115" t="s">
        <v>129</v>
      </c>
      <c r="K10" s="381"/>
      <c r="L10" s="383"/>
      <c r="M10" s="391"/>
      <c r="N10" s="384" t="s">
        <v>128</v>
      </c>
      <c r="O10" s="386"/>
      <c r="P10" s="384" t="s">
        <v>129</v>
      </c>
      <c r="Q10" s="386"/>
    </row>
    <row r="11" spans="1:17" ht="13.8">
      <c r="A11" s="80">
        <v>1</v>
      </c>
      <c r="B11" s="448" t="s">
        <v>11</v>
      </c>
      <c r="C11" s="449"/>
      <c r="D11" s="449"/>
      <c r="E11" s="449"/>
      <c r="F11" s="449"/>
      <c r="G11" s="449"/>
      <c r="H11" s="449"/>
      <c r="I11" s="449"/>
      <c r="J11" s="449"/>
      <c r="K11" s="449"/>
      <c r="L11" s="449"/>
      <c r="M11" s="449"/>
      <c r="N11" s="449"/>
      <c r="O11" s="449"/>
      <c r="P11" s="450">
        <f>P12+P13</f>
        <v>14593.216839999999</v>
      </c>
      <c r="Q11" s="451"/>
    </row>
    <row r="12" spans="1:17" ht="50.25" customHeight="1">
      <c r="A12" s="77" t="s">
        <v>10</v>
      </c>
      <c r="B12" s="298" t="s">
        <v>68</v>
      </c>
      <c r="C12" s="403"/>
      <c r="D12" s="299"/>
      <c r="E12" s="404">
        <v>2</v>
      </c>
      <c r="F12" s="405"/>
      <c r="G12" s="406"/>
      <c r="H12" s="116">
        <v>2</v>
      </c>
      <c r="I12" s="117">
        <v>0</v>
      </c>
      <c r="J12" s="116">
        <f>H12+I12</f>
        <v>2</v>
      </c>
      <c r="K12" s="404" t="s">
        <v>9</v>
      </c>
      <c r="L12" s="406"/>
      <c r="M12" s="14">
        <v>236.24916999999999</v>
      </c>
      <c r="N12" s="395">
        <f>I12*M12</f>
        <v>0</v>
      </c>
      <c r="O12" s="407"/>
      <c r="P12" s="395">
        <f>J12*M12</f>
        <v>472.49833999999998</v>
      </c>
      <c r="Q12" s="396"/>
    </row>
    <row r="13" spans="1:17" ht="23.25" customHeight="1">
      <c r="A13" s="77" t="s">
        <v>98</v>
      </c>
      <c r="B13" s="298" t="s">
        <v>149</v>
      </c>
      <c r="C13" s="403"/>
      <c r="D13" s="299"/>
      <c r="E13" s="405">
        <v>25</v>
      </c>
      <c r="F13" s="405"/>
      <c r="G13" s="405"/>
      <c r="H13" s="116">
        <v>25</v>
      </c>
      <c r="I13" s="117">
        <v>0</v>
      </c>
      <c r="J13" s="116">
        <f>H13+I13</f>
        <v>25</v>
      </c>
      <c r="K13" s="404" t="s">
        <v>9</v>
      </c>
      <c r="L13" s="406"/>
      <c r="M13" s="125">
        <v>564.82873999999993</v>
      </c>
      <c r="N13" s="395">
        <f>I13*M13</f>
        <v>0</v>
      </c>
      <c r="O13" s="407"/>
      <c r="P13" s="395">
        <f>J13*M13</f>
        <v>14120.718499999999</v>
      </c>
      <c r="Q13" s="396"/>
    </row>
    <row r="14" spans="1:17">
      <c r="A14" s="438" t="s">
        <v>153</v>
      </c>
      <c r="B14" s="439"/>
      <c r="C14" s="439"/>
      <c r="D14" s="439"/>
      <c r="E14" s="439"/>
      <c r="F14" s="439"/>
      <c r="G14" s="439"/>
      <c r="H14" s="439"/>
      <c r="I14" s="439"/>
      <c r="J14" s="439"/>
      <c r="K14" s="439"/>
      <c r="L14" s="439"/>
      <c r="M14" s="439"/>
      <c r="N14" s="439"/>
      <c r="O14" s="439"/>
      <c r="P14" s="439"/>
      <c r="Q14" s="440"/>
    </row>
    <row r="15" spans="1:17">
      <c r="A15" s="131">
        <v>2</v>
      </c>
      <c r="B15" s="452" t="s">
        <v>93</v>
      </c>
      <c r="C15" s="452"/>
      <c r="D15" s="452"/>
      <c r="E15" s="452"/>
      <c r="F15" s="452"/>
      <c r="G15" s="452"/>
      <c r="H15" s="452"/>
      <c r="I15" s="452"/>
      <c r="J15" s="452"/>
      <c r="K15" s="452"/>
      <c r="L15" s="452"/>
      <c r="M15" s="452"/>
      <c r="N15" s="452"/>
      <c r="O15" s="452"/>
      <c r="P15" s="441">
        <f>N16+N17+N18+N19</f>
        <v>63575.273799999995</v>
      </c>
      <c r="Q15" s="442"/>
    </row>
    <row r="16" spans="1:17">
      <c r="A16" s="130" t="s">
        <v>60</v>
      </c>
      <c r="B16" s="425" t="s">
        <v>83</v>
      </c>
      <c r="C16" s="426"/>
      <c r="D16" s="427"/>
      <c r="E16" s="404">
        <v>570.15</v>
      </c>
      <c r="F16" s="405"/>
      <c r="G16" s="406"/>
      <c r="H16" s="136">
        <v>0</v>
      </c>
      <c r="I16" s="11">
        <v>570.15</v>
      </c>
      <c r="J16" s="136">
        <f>I16+H16</f>
        <v>570.15</v>
      </c>
      <c r="K16" s="404" t="s">
        <v>9</v>
      </c>
      <c r="L16" s="406"/>
      <c r="M16" s="14">
        <v>1.5</v>
      </c>
      <c r="N16" s="395">
        <f>I16*M16</f>
        <v>855.22499999999991</v>
      </c>
      <c r="O16" s="407"/>
      <c r="P16" s="395">
        <f>J16*M16</f>
        <v>855.22499999999991</v>
      </c>
      <c r="Q16" s="396"/>
    </row>
    <row r="17" spans="1:17" ht="33" customHeight="1">
      <c r="A17" s="130" t="s">
        <v>63</v>
      </c>
      <c r="B17" s="428" t="s">
        <v>150</v>
      </c>
      <c r="C17" s="429"/>
      <c r="D17" s="430"/>
      <c r="E17" s="404">
        <v>186.8</v>
      </c>
      <c r="F17" s="405"/>
      <c r="G17" s="406"/>
      <c r="H17" s="116">
        <v>0</v>
      </c>
      <c r="I17" s="117">
        <v>186.8</v>
      </c>
      <c r="J17" s="136">
        <f>I17+H17</f>
        <v>186.8</v>
      </c>
      <c r="K17" s="404" t="s">
        <v>13</v>
      </c>
      <c r="L17" s="406"/>
      <c r="M17" s="118">
        <v>53.36</v>
      </c>
      <c r="N17" s="395">
        <f>I17*M17</f>
        <v>9967.648000000001</v>
      </c>
      <c r="O17" s="407"/>
      <c r="P17" s="395">
        <f>J17*M17</f>
        <v>9967.648000000001</v>
      </c>
      <c r="Q17" s="396"/>
    </row>
    <row r="18" spans="1:17" ht="34.5" customHeight="1">
      <c r="A18" s="130" t="s">
        <v>99</v>
      </c>
      <c r="B18" s="298" t="s">
        <v>158</v>
      </c>
      <c r="C18" s="403"/>
      <c r="D18" s="299"/>
      <c r="E18" s="404">
        <v>515.91</v>
      </c>
      <c r="F18" s="405"/>
      <c r="G18" s="406"/>
      <c r="H18" s="136">
        <v>0</v>
      </c>
      <c r="I18" s="11">
        <v>515.91</v>
      </c>
      <c r="J18" s="136">
        <f>I18+H18</f>
        <v>515.91</v>
      </c>
      <c r="K18" s="404" t="s">
        <v>9</v>
      </c>
      <c r="L18" s="406"/>
      <c r="M18" s="118">
        <v>87.28</v>
      </c>
      <c r="N18" s="395">
        <f>I18*M18</f>
        <v>45028.624799999998</v>
      </c>
      <c r="O18" s="407"/>
      <c r="P18" s="395">
        <f>J18*M18</f>
        <v>45028.624799999998</v>
      </c>
      <c r="Q18" s="396"/>
    </row>
    <row r="19" spans="1:17" ht="23.25" customHeight="1">
      <c r="A19" s="130" t="s">
        <v>100</v>
      </c>
      <c r="B19" s="435" t="s">
        <v>152</v>
      </c>
      <c r="C19" s="436"/>
      <c r="D19" s="437"/>
      <c r="E19" s="404">
        <v>180.8</v>
      </c>
      <c r="F19" s="405"/>
      <c r="G19" s="406"/>
      <c r="H19" s="136">
        <v>0</v>
      </c>
      <c r="I19" s="11">
        <v>180.8</v>
      </c>
      <c r="J19" s="136">
        <f>I19+H19</f>
        <v>180.8</v>
      </c>
      <c r="K19" s="404" t="s">
        <v>13</v>
      </c>
      <c r="L19" s="406"/>
      <c r="M19" s="129">
        <v>42.72</v>
      </c>
      <c r="N19" s="395">
        <f>I19*M19</f>
        <v>7723.7759999999998</v>
      </c>
      <c r="O19" s="407"/>
      <c r="P19" s="395">
        <f>J19*M19</f>
        <v>7723.7759999999998</v>
      </c>
      <c r="Q19" s="396"/>
    </row>
    <row r="20" spans="1:17">
      <c r="A20" s="131"/>
      <c r="B20" s="439" t="s">
        <v>154</v>
      </c>
      <c r="C20" s="439"/>
      <c r="D20" s="439"/>
      <c r="E20" s="439"/>
      <c r="F20" s="439"/>
      <c r="G20" s="439"/>
      <c r="H20" s="439"/>
      <c r="I20" s="439"/>
      <c r="J20" s="439"/>
      <c r="K20" s="439"/>
      <c r="L20" s="439"/>
      <c r="M20" s="439"/>
      <c r="N20" s="439"/>
      <c r="O20" s="439"/>
      <c r="P20" s="410"/>
      <c r="Q20" s="411"/>
    </row>
    <row r="21" spans="1:17">
      <c r="A21" s="1">
        <v>3</v>
      </c>
      <c r="B21" s="452" t="s">
        <v>93</v>
      </c>
      <c r="C21" s="452"/>
      <c r="D21" s="452"/>
      <c r="E21" s="120"/>
      <c r="F21" s="120"/>
      <c r="G21" s="120"/>
      <c r="H21" s="121"/>
      <c r="I21" s="122"/>
      <c r="J21" s="121"/>
      <c r="K21" s="120"/>
      <c r="L21" s="120"/>
      <c r="M21" s="123"/>
      <c r="N21" s="124"/>
      <c r="O21" s="124"/>
      <c r="P21" s="441">
        <f>N22+N23+N24+N25</f>
        <v>40668.480000000003</v>
      </c>
      <c r="Q21" s="442"/>
    </row>
    <row r="22" spans="1:17">
      <c r="A22" s="130" t="s">
        <v>61</v>
      </c>
      <c r="B22" s="425" t="s">
        <v>83</v>
      </c>
      <c r="C22" s="426"/>
      <c r="D22" s="427"/>
      <c r="E22" s="404">
        <v>360</v>
      </c>
      <c r="F22" s="405"/>
      <c r="G22" s="406"/>
      <c r="H22" s="136">
        <v>0</v>
      </c>
      <c r="I22" s="11">
        <v>360</v>
      </c>
      <c r="J22" s="136">
        <f>I22+H22</f>
        <v>360</v>
      </c>
      <c r="K22" s="404" t="s">
        <v>9</v>
      </c>
      <c r="L22" s="406"/>
      <c r="M22" s="14">
        <v>1.5</v>
      </c>
      <c r="N22" s="395">
        <f>I22*M22</f>
        <v>540</v>
      </c>
      <c r="O22" s="407"/>
      <c r="P22" s="395">
        <f>J22*M22</f>
        <v>540</v>
      </c>
      <c r="Q22" s="396"/>
    </row>
    <row r="23" spans="1:17" ht="36" customHeight="1">
      <c r="A23" s="130" t="s">
        <v>72</v>
      </c>
      <c r="B23" s="428" t="s">
        <v>150</v>
      </c>
      <c r="C23" s="429"/>
      <c r="D23" s="430"/>
      <c r="E23" s="404">
        <v>126</v>
      </c>
      <c r="F23" s="405"/>
      <c r="G23" s="406"/>
      <c r="H23" s="136">
        <v>0</v>
      </c>
      <c r="I23" s="11">
        <v>126</v>
      </c>
      <c r="J23" s="136">
        <f>I23+H23</f>
        <v>126</v>
      </c>
      <c r="K23" s="404" t="s">
        <v>13</v>
      </c>
      <c r="L23" s="406"/>
      <c r="M23" s="118">
        <v>53.36</v>
      </c>
      <c r="N23" s="395">
        <f>I23*M23</f>
        <v>6723.36</v>
      </c>
      <c r="O23" s="407"/>
      <c r="P23" s="395">
        <f>J23*M23</f>
        <v>6723.36</v>
      </c>
      <c r="Q23" s="396"/>
    </row>
    <row r="24" spans="1:17" ht="33" customHeight="1">
      <c r="A24" s="130" t="s">
        <v>78</v>
      </c>
      <c r="B24" s="298" t="s">
        <v>158</v>
      </c>
      <c r="C24" s="403"/>
      <c r="D24" s="299"/>
      <c r="E24" s="404">
        <v>324</v>
      </c>
      <c r="F24" s="405"/>
      <c r="G24" s="406"/>
      <c r="H24" s="136">
        <v>0</v>
      </c>
      <c r="I24" s="11">
        <v>324</v>
      </c>
      <c r="J24" s="136">
        <f>I24+H24</f>
        <v>324</v>
      </c>
      <c r="K24" s="404" t="s">
        <v>9</v>
      </c>
      <c r="L24" s="406"/>
      <c r="M24" s="118">
        <v>87.28</v>
      </c>
      <c r="N24" s="395">
        <f>I24*M24</f>
        <v>28278.720000000001</v>
      </c>
      <c r="O24" s="407"/>
      <c r="P24" s="395">
        <f>J24*M24</f>
        <v>28278.720000000001</v>
      </c>
      <c r="Q24" s="396"/>
    </row>
    <row r="25" spans="1:17" ht="21.75" customHeight="1">
      <c r="A25" s="130" t="s">
        <v>85</v>
      </c>
      <c r="B25" s="435" t="s">
        <v>152</v>
      </c>
      <c r="C25" s="436"/>
      <c r="D25" s="437"/>
      <c r="E25" s="404">
        <v>120</v>
      </c>
      <c r="F25" s="405"/>
      <c r="G25" s="406"/>
      <c r="H25" s="136">
        <v>0</v>
      </c>
      <c r="I25" s="11">
        <v>120</v>
      </c>
      <c r="J25" s="136">
        <f>I25+H25</f>
        <v>120</v>
      </c>
      <c r="K25" s="404" t="s">
        <v>13</v>
      </c>
      <c r="L25" s="406"/>
      <c r="M25" s="128">
        <v>42.72</v>
      </c>
      <c r="N25" s="395">
        <f>I25*M25</f>
        <v>5126.3999999999996</v>
      </c>
      <c r="O25" s="407"/>
      <c r="P25" s="395">
        <f>J25*M25</f>
        <v>5126.3999999999996</v>
      </c>
      <c r="Q25" s="396"/>
    </row>
    <row r="26" spans="1:17">
      <c r="A26" s="438" t="s">
        <v>147</v>
      </c>
      <c r="B26" s="439"/>
      <c r="C26" s="439"/>
      <c r="D26" s="439"/>
      <c r="E26" s="439"/>
      <c r="F26" s="439"/>
      <c r="G26" s="439"/>
      <c r="H26" s="439"/>
      <c r="I26" s="439"/>
      <c r="J26" s="439"/>
      <c r="K26" s="439"/>
      <c r="L26" s="439"/>
      <c r="M26" s="439"/>
      <c r="N26" s="439"/>
      <c r="O26" s="439"/>
      <c r="P26" s="410"/>
      <c r="Q26" s="411"/>
    </row>
    <row r="27" spans="1:17" ht="13.8">
      <c r="A27" s="119">
        <v>4</v>
      </c>
      <c r="B27" s="462" t="s">
        <v>148</v>
      </c>
      <c r="C27" s="452"/>
      <c r="D27" s="452"/>
      <c r="E27" s="452"/>
      <c r="F27" s="452"/>
      <c r="G27" s="452"/>
      <c r="H27" s="452"/>
      <c r="I27" s="452"/>
      <c r="J27" s="452"/>
      <c r="K27" s="452"/>
      <c r="L27" s="452"/>
      <c r="M27" s="452"/>
      <c r="N27" s="452"/>
      <c r="O27" s="452"/>
      <c r="P27" s="408" t="e">
        <f>SUM(P28,P29,P30,P31)</f>
        <v>#REF!</v>
      </c>
      <c r="Q27" s="409"/>
    </row>
    <row r="28" spans="1:17">
      <c r="A28" s="77" t="s">
        <v>75</v>
      </c>
      <c r="B28" s="425" t="s">
        <v>83</v>
      </c>
      <c r="C28" s="426"/>
      <c r="D28" s="427"/>
      <c r="E28" s="405">
        <v>1160</v>
      </c>
      <c r="F28" s="405"/>
      <c r="G28" s="406"/>
      <c r="H28" s="116">
        <v>1160</v>
      </c>
      <c r="I28" s="117">
        <v>0</v>
      </c>
      <c r="J28" s="116">
        <f>H28+I28</f>
        <v>1160</v>
      </c>
      <c r="K28" s="404" t="s">
        <v>9</v>
      </c>
      <c r="L28" s="406"/>
      <c r="M28" s="129" t="e">
        <v>#REF!</v>
      </c>
      <c r="N28" s="395" t="e">
        <f>I28*M28</f>
        <v>#REF!</v>
      </c>
      <c r="O28" s="407"/>
      <c r="P28" s="424" t="e">
        <f>J28*M28</f>
        <v>#REF!</v>
      </c>
      <c r="Q28" s="396"/>
    </row>
    <row r="29" spans="1:17" ht="35.25" customHeight="1">
      <c r="A29" s="77" t="s">
        <v>76</v>
      </c>
      <c r="B29" s="428" t="s">
        <v>150</v>
      </c>
      <c r="C29" s="429"/>
      <c r="D29" s="430"/>
      <c r="E29" s="405">
        <v>469</v>
      </c>
      <c r="F29" s="405"/>
      <c r="G29" s="406"/>
      <c r="H29" s="116">
        <v>469</v>
      </c>
      <c r="I29" s="117">
        <v>0</v>
      </c>
      <c r="J29" s="116">
        <f>H29+I29</f>
        <v>469</v>
      </c>
      <c r="K29" s="404" t="s">
        <v>13</v>
      </c>
      <c r="L29" s="406"/>
      <c r="M29" s="129" t="e">
        <v>#REF!</v>
      </c>
      <c r="N29" s="395" t="e">
        <f>I29*M29</f>
        <v>#REF!</v>
      </c>
      <c r="O29" s="407"/>
      <c r="P29" s="424" t="e">
        <f>J29*M29</f>
        <v>#REF!</v>
      </c>
      <c r="Q29" s="396"/>
    </row>
    <row r="30" spans="1:17" ht="34.5" customHeight="1">
      <c r="A30" s="77" t="s">
        <v>101</v>
      </c>
      <c r="B30" s="298" t="s">
        <v>158</v>
      </c>
      <c r="C30" s="403"/>
      <c r="D30" s="299"/>
      <c r="E30" s="405">
        <v>1020.8</v>
      </c>
      <c r="F30" s="405"/>
      <c r="G30" s="406"/>
      <c r="H30" s="116">
        <v>1020.8</v>
      </c>
      <c r="I30" s="117">
        <v>0</v>
      </c>
      <c r="J30" s="116">
        <f>H30+I30</f>
        <v>1020.8</v>
      </c>
      <c r="K30" s="404" t="s">
        <v>9</v>
      </c>
      <c r="L30" s="406"/>
      <c r="M30" s="129" t="e">
        <v>#REF!</v>
      </c>
      <c r="N30" s="395" t="e">
        <f>I30*M30</f>
        <v>#REF!</v>
      </c>
      <c r="O30" s="407"/>
      <c r="P30" s="424" t="e">
        <f>J30*M30</f>
        <v>#REF!</v>
      </c>
      <c r="Q30" s="396"/>
    </row>
    <row r="31" spans="1:17" ht="22.5" customHeight="1">
      <c r="A31" s="152" t="s">
        <v>102</v>
      </c>
      <c r="B31" s="414" t="s">
        <v>152</v>
      </c>
      <c r="C31" s="415"/>
      <c r="D31" s="416"/>
      <c r="E31" s="417">
        <v>464</v>
      </c>
      <c r="F31" s="417"/>
      <c r="G31" s="418"/>
      <c r="H31" s="139">
        <v>464</v>
      </c>
      <c r="I31" s="142">
        <v>0</v>
      </c>
      <c r="J31" s="139">
        <f>H31+I31</f>
        <v>464</v>
      </c>
      <c r="K31" s="419" t="s">
        <v>13</v>
      </c>
      <c r="L31" s="418"/>
      <c r="M31" s="129" t="e">
        <v>#REF!</v>
      </c>
      <c r="N31" s="420" t="e">
        <f>I31*M31</f>
        <v>#REF!</v>
      </c>
      <c r="O31" s="421"/>
      <c r="P31" s="422" t="e">
        <f>J31*M31</f>
        <v>#REF!</v>
      </c>
      <c r="Q31" s="423"/>
    </row>
    <row r="32" spans="1:17">
      <c r="A32" s="439" t="s">
        <v>155</v>
      </c>
      <c r="B32" s="439"/>
      <c r="C32" s="439"/>
      <c r="D32" s="439"/>
      <c r="E32" s="439"/>
      <c r="F32" s="439"/>
      <c r="G32" s="439"/>
      <c r="H32" s="439"/>
      <c r="I32" s="439"/>
      <c r="J32" s="439"/>
      <c r="K32" s="439"/>
      <c r="L32" s="439"/>
      <c r="M32" s="439"/>
      <c r="N32" s="439"/>
      <c r="O32" s="439"/>
      <c r="P32" s="439"/>
      <c r="Q32" s="440"/>
    </row>
    <row r="33" spans="1:17">
      <c r="A33" s="134">
        <v>5</v>
      </c>
      <c r="B33" s="457" t="s">
        <v>82</v>
      </c>
      <c r="C33" s="458"/>
      <c r="D33" s="458"/>
      <c r="E33" s="458"/>
      <c r="F33" s="458"/>
      <c r="G33" s="458"/>
      <c r="H33" s="458"/>
      <c r="I33" s="458"/>
      <c r="J33" s="458"/>
      <c r="K33" s="458"/>
      <c r="L33" s="458"/>
      <c r="M33" s="458"/>
      <c r="N33" s="458"/>
      <c r="O33" s="458"/>
      <c r="P33" s="443">
        <f>P34+P35+P36+P37+P38</f>
        <v>0</v>
      </c>
      <c r="Q33" s="444"/>
    </row>
    <row r="34" spans="1:17">
      <c r="A34" s="133" t="s">
        <v>79</v>
      </c>
      <c r="B34" s="414" t="s">
        <v>90</v>
      </c>
      <c r="C34" s="415"/>
      <c r="D34" s="415"/>
      <c r="E34" s="404">
        <v>282.56</v>
      </c>
      <c r="F34" s="405"/>
      <c r="G34" s="406"/>
      <c r="H34" s="136">
        <v>0</v>
      </c>
      <c r="I34" s="11">
        <v>0</v>
      </c>
      <c r="J34" s="136">
        <f>H34+I34</f>
        <v>0</v>
      </c>
      <c r="K34" s="404" t="s">
        <v>70</v>
      </c>
      <c r="L34" s="406"/>
      <c r="M34" s="140">
        <v>4.0999999999999996</v>
      </c>
      <c r="N34" s="395">
        <f>I34*M34</f>
        <v>0</v>
      </c>
      <c r="O34" s="407"/>
      <c r="P34" s="395">
        <f>J34*M34</f>
        <v>0</v>
      </c>
      <c r="Q34" s="396"/>
    </row>
    <row r="35" spans="1:17" ht="22.5" customHeight="1">
      <c r="A35" s="138" t="s">
        <v>80</v>
      </c>
      <c r="B35" s="428" t="s">
        <v>156</v>
      </c>
      <c r="C35" s="429"/>
      <c r="D35" s="430"/>
      <c r="E35" s="404">
        <v>310.5</v>
      </c>
      <c r="F35" s="405"/>
      <c r="G35" s="406"/>
      <c r="H35" s="136">
        <v>0</v>
      </c>
      <c r="I35" s="11">
        <v>0</v>
      </c>
      <c r="J35" s="136">
        <f>H35+I35</f>
        <v>0</v>
      </c>
      <c r="K35" s="404" t="s">
        <v>13</v>
      </c>
      <c r="L35" s="406"/>
      <c r="M35" s="14">
        <v>101.32</v>
      </c>
      <c r="N35" s="395">
        <f>I35*M35</f>
        <v>0</v>
      </c>
      <c r="O35" s="407"/>
      <c r="P35" s="395">
        <f>J35*M35</f>
        <v>0</v>
      </c>
      <c r="Q35" s="396"/>
    </row>
    <row r="36" spans="1:17" ht="25.5" customHeight="1">
      <c r="A36" s="138" t="s">
        <v>81</v>
      </c>
      <c r="B36" s="432" t="s">
        <v>157</v>
      </c>
      <c r="C36" s="433"/>
      <c r="D36" s="434"/>
      <c r="E36" s="404">
        <v>1</v>
      </c>
      <c r="F36" s="405"/>
      <c r="G36" s="406"/>
      <c r="H36" s="136">
        <v>0</v>
      </c>
      <c r="I36" s="11">
        <v>0</v>
      </c>
      <c r="J36" s="136">
        <f>H36+I36</f>
        <v>0</v>
      </c>
      <c r="K36" s="404" t="s">
        <v>14</v>
      </c>
      <c r="L36" s="406"/>
      <c r="M36" s="14">
        <v>2231.38</v>
      </c>
      <c r="N36" s="395">
        <f>I36*M36</f>
        <v>0</v>
      </c>
      <c r="O36" s="407"/>
      <c r="P36" s="395">
        <f>J36*M36</f>
        <v>0</v>
      </c>
      <c r="Q36" s="396"/>
    </row>
    <row r="37" spans="1:17" ht="21" customHeight="1">
      <c r="A37" s="138" t="s">
        <v>84</v>
      </c>
      <c r="B37" s="428" t="s">
        <v>92</v>
      </c>
      <c r="C37" s="429"/>
      <c r="D37" s="430"/>
      <c r="E37" s="404">
        <v>18</v>
      </c>
      <c r="F37" s="405"/>
      <c r="G37" s="406"/>
      <c r="H37" s="136">
        <v>0</v>
      </c>
      <c r="I37" s="11">
        <v>0</v>
      </c>
      <c r="J37" s="136">
        <f>H37+I37</f>
        <v>0</v>
      </c>
      <c r="K37" s="404" t="s">
        <v>14</v>
      </c>
      <c r="L37" s="406"/>
      <c r="M37" s="14">
        <v>1245.5899999999999</v>
      </c>
      <c r="N37" s="395">
        <f>I37*M37</f>
        <v>0</v>
      </c>
      <c r="O37" s="407"/>
      <c r="P37" s="395">
        <f>J37*M37</f>
        <v>0</v>
      </c>
      <c r="Q37" s="396"/>
    </row>
    <row r="38" spans="1:17">
      <c r="A38" s="137" t="s">
        <v>103</v>
      </c>
      <c r="B38" s="432" t="s">
        <v>91</v>
      </c>
      <c r="C38" s="433"/>
      <c r="D38" s="434"/>
      <c r="E38" s="404">
        <v>204.56</v>
      </c>
      <c r="F38" s="405"/>
      <c r="G38" s="406"/>
      <c r="H38" s="136">
        <v>0</v>
      </c>
      <c r="I38" s="11">
        <v>0</v>
      </c>
      <c r="J38" s="136">
        <f>H38+I38</f>
        <v>0</v>
      </c>
      <c r="K38" s="404" t="s">
        <v>70</v>
      </c>
      <c r="L38" s="406"/>
      <c r="M38" s="132">
        <v>39.43</v>
      </c>
      <c r="N38" s="395">
        <f>I38*M38</f>
        <v>0</v>
      </c>
      <c r="O38" s="407"/>
      <c r="P38" s="395">
        <f>J38*M38</f>
        <v>0</v>
      </c>
      <c r="Q38" s="396"/>
    </row>
    <row r="39" spans="1:17">
      <c r="A39" s="135">
        <v>6</v>
      </c>
      <c r="B39" s="453" t="s">
        <v>93</v>
      </c>
      <c r="C39" s="454"/>
      <c r="D39" s="454"/>
      <c r="E39" s="454"/>
      <c r="F39" s="454"/>
      <c r="G39" s="454"/>
      <c r="H39" s="454"/>
      <c r="I39" s="454"/>
      <c r="J39" s="455"/>
      <c r="K39" s="455"/>
      <c r="L39" s="455"/>
      <c r="M39" s="455"/>
      <c r="N39" s="455"/>
      <c r="O39" s="456"/>
      <c r="P39" s="443">
        <f>P40+P41+P42+P43</f>
        <v>0</v>
      </c>
      <c r="Q39" s="444"/>
    </row>
    <row r="40" spans="1:17">
      <c r="A40" s="150" t="s">
        <v>88</v>
      </c>
      <c r="B40" s="428" t="s">
        <v>83</v>
      </c>
      <c r="C40" s="429"/>
      <c r="D40" s="430"/>
      <c r="E40" s="404">
        <v>1871.09</v>
      </c>
      <c r="F40" s="405"/>
      <c r="G40" s="406"/>
      <c r="H40" s="136">
        <v>0</v>
      </c>
      <c r="I40" s="11">
        <v>0</v>
      </c>
      <c r="J40" s="136">
        <f>I40+H40</f>
        <v>0</v>
      </c>
      <c r="K40" s="404" t="s">
        <v>9</v>
      </c>
      <c r="L40" s="406"/>
      <c r="M40" s="129">
        <v>1.5</v>
      </c>
      <c r="N40" s="395">
        <f>I40*M40</f>
        <v>0</v>
      </c>
      <c r="O40" s="407"/>
      <c r="P40" s="395">
        <f>J40*M40</f>
        <v>0</v>
      </c>
      <c r="Q40" s="396"/>
    </row>
    <row r="41" spans="1:17" ht="36" customHeight="1">
      <c r="A41" s="143" t="s">
        <v>89</v>
      </c>
      <c r="B41" s="433" t="s">
        <v>150</v>
      </c>
      <c r="C41" s="433"/>
      <c r="D41" s="433"/>
      <c r="E41" s="404">
        <v>721.35</v>
      </c>
      <c r="F41" s="405"/>
      <c r="G41" s="406"/>
      <c r="H41" s="136">
        <v>0</v>
      </c>
      <c r="I41" s="11">
        <v>0</v>
      </c>
      <c r="J41" s="136">
        <f>I41+H41</f>
        <v>0</v>
      </c>
      <c r="K41" s="404" t="s">
        <v>13</v>
      </c>
      <c r="L41" s="406"/>
      <c r="M41" s="129">
        <v>53.36</v>
      </c>
      <c r="N41" s="395">
        <f>I41*M41</f>
        <v>0</v>
      </c>
      <c r="O41" s="407"/>
      <c r="P41" s="395">
        <f>J41*M41</f>
        <v>0</v>
      </c>
      <c r="Q41" s="396"/>
    </row>
    <row r="42" spans="1:17" ht="33" customHeight="1">
      <c r="A42" s="149" t="s">
        <v>104</v>
      </c>
      <c r="B42" s="298" t="s">
        <v>158</v>
      </c>
      <c r="C42" s="403"/>
      <c r="D42" s="299"/>
      <c r="E42" s="404">
        <v>1658.24</v>
      </c>
      <c r="F42" s="405"/>
      <c r="G42" s="406"/>
      <c r="H42" s="136">
        <v>0</v>
      </c>
      <c r="I42" s="11">
        <v>0</v>
      </c>
      <c r="J42" s="136">
        <f>I42+H42</f>
        <v>0</v>
      </c>
      <c r="K42" s="404" t="s">
        <v>9</v>
      </c>
      <c r="L42" s="406"/>
      <c r="M42" s="129">
        <v>87.28</v>
      </c>
      <c r="N42" s="395">
        <f>I42*M42</f>
        <v>0</v>
      </c>
      <c r="O42" s="407"/>
      <c r="P42" s="395">
        <f>J42*M42</f>
        <v>0</v>
      </c>
      <c r="Q42" s="396"/>
    </row>
    <row r="43" spans="1:17" ht="27" customHeight="1">
      <c r="A43" s="151" t="s">
        <v>105</v>
      </c>
      <c r="B43" s="435" t="s">
        <v>152</v>
      </c>
      <c r="C43" s="436"/>
      <c r="D43" s="437"/>
      <c r="E43" s="404">
        <v>708.35</v>
      </c>
      <c r="F43" s="405"/>
      <c r="G43" s="406"/>
      <c r="H43" s="136">
        <v>0</v>
      </c>
      <c r="I43" s="11">
        <v>0</v>
      </c>
      <c r="J43" s="136">
        <f>I43+H43</f>
        <v>0</v>
      </c>
      <c r="K43" s="419" t="s">
        <v>13</v>
      </c>
      <c r="L43" s="418"/>
      <c r="M43" s="141">
        <v>42.72</v>
      </c>
      <c r="N43" s="412">
        <f>I43*M43</f>
        <v>0</v>
      </c>
      <c r="O43" s="431"/>
      <c r="P43" s="412">
        <f>J43*M43</f>
        <v>0</v>
      </c>
      <c r="Q43" s="413"/>
    </row>
    <row r="44" spans="1:17">
      <c r="A44" s="501" t="s">
        <v>130</v>
      </c>
      <c r="B44" s="502"/>
      <c r="C44" s="502"/>
      <c r="D44" s="502"/>
      <c r="E44" s="502"/>
      <c r="F44" s="502"/>
      <c r="G44" s="502"/>
      <c r="H44" s="502"/>
      <c r="I44" s="503"/>
      <c r="J44" s="507" t="s">
        <v>131</v>
      </c>
      <c r="K44" s="507"/>
      <c r="L44" s="507"/>
      <c r="M44" s="508"/>
      <c r="N44" s="511" t="s">
        <v>132</v>
      </c>
      <c r="O44" s="512"/>
      <c r="P44" s="513">
        <f>P15+P21</f>
        <v>104243.75380000001</v>
      </c>
      <c r="Q44" s="514"/>
    </row>
    <row r="45" spans="1:17">
      <c r="A45" s="504"/>
      <c r="B45" s="505"/>
      <c r="C45" s="505"/>
      <c r="D45" s="505"/>
      <c r="E45" s="505"/>
      <c r="F45" s="505"/>
      <c r="G45" s="505"/>
      <c r="H45" s="505"/>
      <c r="I45" s="506"/>
      <c r="J45" s="509"/>
      <c r="K45" s="509"/>
      <c r="L45" s="509"/>
      <c r="M45" s="510"/>
      <c r="N45" s="445" t="s">
        <v>133</v>
      </c>
      <c r="O45" s="446"/>
      <c r="P45" s="446"/>
      <c r="Q45" s="447"/>
    </row>
    <row r="46" spans="1:17">
      <c r="A46" s="463" t="s">
        <v>134</v>
      </c>
      <c r="B46" s="464"/>
      <c r="C46" s="465"/>
      <c r="D46" s="472" t="s">
        <v>135</v>
      </c>
      <c r="E46" s="473"/>
      <c r="F46" s="473"/>
      <c r="G46" s="474"/>
      <c r="H46" s="475" t="s">
        <v>136</v>
      </c>
      <c r="I46" s="476"/>
      <c r="J46" s="464" t="s">
        <v>137</v>
      </c>
      <c r="K46" s="464"/>
      <c r="L46" s="464"/>
      <c r="M46" s="465"/>
      <c r="N46" s="481" t="s">
        <v>138</v>
      </c>
      <c r="O46" s="482"/>
      <c r="P46" s="482"/>
      <c r="Q46" s="483"/>
    </row>
    <row r="47" spans="1:17">
      <c r="A47" s="466"/>
      <c r="B47" s="467"/>
      <c r="C47" s="468"/>
      <c r="D47" s="367" t="s">
        <v>137</v>
      </c>
      <c r="E47" s="368"/>
      <c r="F47" s="368"/>
      <c r="G47" s="369"/>
      <c r="H47" s="477"/>
      <c r="I47" s="478"/>
      <c r="J47" s="467"/>
      <c r="K47" s="467"/>
      <c r="L47" s="467"/>
      <c r="M47" s="468"/>
      <c r="N47" s="484"/>
      <c r="O47" s="485"/>
      <c r="P47" s="485"/>
      <c r="Q47" s="486"/>
    </row>
    <row r="48" spans="1:17">
      <c r="A48" s="466"/>
      <c r="B48" s="467"/>
      <c r="C48" s="468"/>
      <c r="D48" s="487"/>
      <c r="E48" s="488"/>
      <c r="F48" s="488"/>
      <c r="G48" s="126"/>
      <c r="H48" s="477"/>
      <c r="I48" s="478"/>
      <c r="J48" s="467"/>
      <c r="K48" s="467"/>
      <c r="L48" s="467"/>
      <c r="M48" s="468"/>
      <c r="N48" s="491">
        <f>P44</f>
        <v>104243.75380000001</v>
      </c>
      <c r="O48" s="492"/>
      <c r="P48" s="492"/>
      <c r="Q48" s="493"/>
    </row>
    <row r="49" spans="1:17">
      <c r="A49" s="466"/>
      <c r="B49" s="467"/>
      <c r="C49" s="468"/>
      <c r="D49" s="487"/>
      <c r="E49" s="488"/>
      <c r="F49" s="488"/>
      <c r="G49" s="126"/>
      <c r="H49" s="477"/>
      <c r="I49" s="478"/>
      <c r="J49" s="467"/>
      <c r="K49" s="467"/>
      <c r="L49" s="467"/>
      <c r="M49" s="468"/>
      <c r="N49" s="494"/>
      <c r="O49" s="495"/>
      <c r="P49" s="495"/>
      <c r="Q49" s="496"/>
    </row>
    <row r="50" spans="1:17">
      <c r="A50" s="466"/>
      <c r="B50" s="467"/>
      <c r="C50" s="468"/>
      <c r="D50" s="487"/>
      <c r="E50" s="488"/>
      <c r="F50" s="488"/>
      <c r="G50" s="126"/>
      <c r="H50" s="477"/>
      <c r="I50" s="478"/>
      <c r="J50" s="467"/>
      <c r="K50" s="467"/>
      <c r="L50" s="467"/>
      <c r="M50" s="468"/>
      <c r="N50" s="494"/>
      <c r="O50" s="495"/>
      <c r="P50" s="495"/>
      <c r="Q50" s="496"/>
    </row>
    <row r="51" spans="1:17">
      <c r="A51" s="469"/>
      <c r="B51" s="470"/>
      <c r="C51" s="471"/>
      <c r="D51" s="489"/>
      <c r="E51" s="490"/>
      <c r="F51" s="490"/>
      <c r="G51" s="127"/>
      <c r="H51" s="479"/>
      <c r="I51" s="480"/>
      <c r="J51" s="470"/>
      <c r="K51" s="470"/>
      <c r="L51" s="470"/>
      <c r="M51" s="471"/>
      <c r="N51" s="494"/>
      <c r="O51" s="495"/>
      <c r="P51" s="495"/>
      <c r="Q51" s="496"/>
    </row>
    <row r="52" spans="1:17" ht="22.5" customHeight="1">
      <c r="A52" s="500" t="s">
        <v>139</v>
      </c>
      <c r="B52" s="460"/>
      <c r="C52" s="461"/>
      <c r="D52" s="459" t="s">
        <v>140</v>
      </c>
      <c r="E52" s="460"/>
      <c r="F52" s="460"/>
      <c r="G52" s="461"/>
      <c r="H52" s="459" t="s">
        <v>141</v>
      </c>
      <c r="I52" s="461"/>
      <c r="J52" s="460" t="s">
        <v>142</v>
      </c>
      <c r="K52" s="460"/>
      <c r="L52" s="460"/>
      <c r="M52" s="461"/>
      <c r="N52" s="497"/>
      <c r="O52" s="498"/>
      <c r="P52" s="498"/>
      <c r="Q52" s="499"/>
    </row>
  </sheetData>
  <mergeCells count="189">
    <mergeCell ref="B43:D43"/>
    <mergeCell ref="E43:G43"/>
    <mergeCell ref="K43:L43"/>
    <mergeCell ref="D46:G46"/>
    <mergeCell ref="H46:I51"/>
    <mergeCell ref="N43:O43"/>
    <mergeCell ref="P43:Q43"/>
    <mergeCell ref="A44:I45"/>
    <mergeCell ref="J44:M45"/>
    <mergeCell ref="N44:O44"/>
    <mergeCell ref="P44:Q44"/>
    <mergeCell ref="N45:Q45"/>
    <mergeCell ref="J46:M51"/>
    <mergeCell ref="N46:Q47"/>
    <mergeCell ref="D47:G47"/>
    <mergeCell ref="D48:F51"/>
    <mergeCell ref="N48:Q48"/>
    <mergeCell ref="N49:Q52"/>
    <mergeCell ref="A52:C52"/>
    <mergeCell ref="D52:G52"/>
    <mergeCell ref="H52:I52"/>
    <mergeCell ref="J52:M52"/>
    <mergeCell ref="A46:C51"/>
    <mergeCell ref="B41:D41"/>
    <mergeCell ref="E41:G41"/>
    <mergeCell ref="K41:L41"/>
    <mergeCell ref="N41:O41"/>
    <mergeCell ref="P41:Q41"/>
    <mergeCell ref="B42:D42"/>
    <mergeCell ref="E42:G42"/>
    <mergeCell ref="K42:L42"/>
    <mergeCell ref="N42:O42"/>
    <mergeCell ref="P42:Q42"/>
    <mergeCell ref="B39:O39"/>
    <mergeCell ref="P39:Q39"/>
    <mergeCell ref="B40:D40"/>
    <mergeCell ref="E40:G40"/>
    <mergeCell ref="K40:L40"/>
    <mergeCell ref="N40:O40"/>
    <mergeCell ref="P40:Q40"/>
    <mergeCell ref="B37:D37"/>
    <mergeCell ref="E37:G37"/>
    <mergeCell ref="K37:L37"/>
    <mergeCell ref="N37:O37"/>
    <mergeCell ref="P37:Q37"/>
    <mergeCell ref="B38:D38"/>
    <mergeCell ref="E38:G38"/>
    <mergeCell ref="K38:L38"/>
    <mergeCell ref="N38:O38"/>
    <mergeCell ref="P38:Q38"/>
    <mergeCell ref="B35:D35"/>
    <mergeCell ref="E35:G35"/>
    <mergeCell ref="K35:L35"/>
    <mergeCell ref="N35:O35"/>
    <mergeCell ref="P35:Q35"/>
    <mergeCell ref="B36:D36"/>
    <mergeCell ref="E36:G36"/>
    <mergeCell ref="K36:L36"/>
    <mergeCell ref="N36:O36"/>
    <mergeCell ref="P36:Q36"/>
    <mergeCell ref="B33:O33"/>
    <mergeCell ref="P33:Q33"/>
    <mergeCell ref="B34:D34"/>
    <mergeCell ref="E34:G34"/>
    <mergeCell ref="K34:L34"/>
    <mergeCell ref="N34:O34"/>
    <mergeCell ref="P34:Q34"/>
    <mergeCell ref="B31:D31"/>
    <mergeCell ref="E31:G31"/>
    <mergeCell ref="K31:L31"/>
    <mergeCell ref="N31:O31"/>
    <mergeCell ref="P31:Q31"/>
    <mergeCell ref="A32:Q32"/>
    <mergeCell ref="B29:D29"/>
    <mergeCell ref="E29:G29"/>
    <mergeCell ref="K29:L29"/>
    <mergeCell ref="N29:O29"/>
    <mergeCell ref="P29:Q29"/>
    <mergeCell ref="B30:D30"/>
    <mergeCell ref="E30:G30"/>
    <mergeCell ref="K30:L30"/>
    <mergeCell ref="N30:O30"/>
    <mergeCell ref="P30:Q30"/>
    <mergeCell ref="B27:O27"/>
    <mergeCell ref="P27:Q27"/>
    <mergeCell ref="B28:D28"/>
    <mergeCell ref="E28:G28"/>
    <mergeCell ref="K28:L28"/>
    <mergeCell ref="N28:O28"/>
    <mergeCell ref="P28:Q28"/>
    <mergeCell ref="B25:D25"/>
    <mergeCell ref="E25:G25"/>
    <mergeCell ref="K25:L25"/>
    <mergeCell ref="N25:O25"/>
    <mergeCell ref="P25:Q25"/>
    <mergeCell ref="A26:O26"/>
    <mergeCell ref="P26:Q26"/>
    <mergeCell ref="B23:D23"/>
    <mergeCell ref="E23:G23"/>
    <mergeCell ref="K23:L23"/>
    <mergeCell ref="N23:O23"/>
    <mergeCell ref="P23:Q23"/>
    <mergeCell ref="B24:D24"/>
    <mergeCell ref="E24:G24"/>
    <mergeCell ref="K24:L24"/>
    <mergeCell ref="N24:O24"/>
    <mergeCell ref="P24:Q24"/>
    <mergeCell ref="B21:D21"/>
    <mergeCell ref="P21:Q21"/>
    <mergeCell ref="B22:D22"/>
    <mergeCell ref="E22:G22"/>
    <mergeCell ref="K22:L22"/>
    <mergeCell ref="N22:O22"/>
    <mergeCell ref="P22:Q22"/>
    <mergeCell ref="B19:D19"/>
    <mergeCell ref="E19:G19"/>
    <mergeCell ref="K19:L19"/>
    <mergeCell ref="N19:O19"/>
    <mergeCell ref="P19:Q19"/>
    <mergeCell ref="B20:O20"/>
    <mergeCell ref="P20:Q20"/>
    <mergeCell ref="B17:D17"/>
    <mergeCell ref="E17:G17"/>
    <mergeCell ref="K17:L17"/>
    <mergeCell ref="N17:O17"/>
    <mergeCell ref="P17:Q17"/>
    <mergeCell ref="B18:D18"/>
    <mergeCell ref="E18:G18"/>
    <mergeCell ref="K18:L18"/>
    <mergeCell ref="N18:O18"/>
    <mergeCell ref="P18:Q18"/>
    <mergeCell ref="A14:Q14"/>
    <mergeCell ref="B15:O15"/>
    <mergeCell ref="P15:Q15"/>
    <mergeCell ref="B16:D16"/>
    <mergeCell ref="E16:G16"/>
    <mergeCell ref="K16:L16"/>
    <mergeCell ref="N16:O16"/>
    <mergeCell ref="P16:Q16"/>
    <mergeCell ref="B12:D12"/>
    <mergeCell ref="E12:G12"/>
    <mergeCell ref="K12:L12"/>
    <mergeCell ref="N12:O12"/>
    <mergeCell ref="P12:Q12"/>
    <mergeCell ref="B13:D13"/>
    <mergeCell ref="E13:G13"/>
    <mergeCell ref="K13:L13"/>
    <mergeCell ref="N13:O13"/>
    <mergeCell ref="P13:Q13"/>
    <mergeCell ref="N9:Q9"/>
    <mergeCell ref="E10:G10"/>
    <mergeCell ref="N10:O10"/>
    <mergeCell ref="P10:Q10"/>
    <mergeCell ref="B11:O11"/>
    <mergeCell ref="P11:Q11"/>
    <mergeCell ref="P7:Q7"/>
    <mergeCell ref="J8:K8"/>
    <mergeCell ref="L8:M8"/>
    <mergeCell ref="N8:O8"/>
    <mergeCell ref="P8:Q8"/>
    <mergeCell ref="N7:O7"/>
    <mergeCell ref="A9:A10"/>
    <mergeCell ref="B9:D10"/>
    <mergeCell ref="E9:G9"/>
    <mergeCell ref="H9:J9"/>
    <mergeCell ref="K9:L10"/>
    <mergeCell ref="A7:D8"/>
    <mergeCell ref="E7:G8"/>
    <mergeCell ref="H7:I8"/>
    <mergeCell ref="J7:K7"/>
    <mergeCell ref="L7:M7"/>
    <mergeCell ref="M9:M10"/>
    <mergeCell ref="M4:O4"/>
    <mergeCell ref="P4:Q5"/>
    <mergeCell ref="A5:D6"/>
    <mergeCell ref="E5:G6"/>
    <mergeCell ref="H5:I6"/>
    <mergeCell ref="J5:O5"/>
    <mergeCell ref="J6:Q6"/>
    <mergeCell ref="A1:Q1"/>
    <mergeCell ref="A3:D4"/>
    <mergeCell ref="E3:G3"/>
    <mergeCell ref="H3:I3"/>
    <mergeCell ref="J3:L3"/>
    <mergeCell ref="M3:O3"/>
    <mergeCell ref="P3:Q3"/>
    <mergeCell ref="E4:G4"/>
    <mergeCell ref="H4:I4"/>
    <mergeCell ref="J4:L4"/>
  </mergeCells>
  <pageMargins left="0.511811024" right="0.511811024" top="0.78740157499999996" bottom="0.78740157499999996" header="0.31496062000000002" footer="0.3149606200000000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BFE3C-9FFC-465B-942E-EB5DF89027CE}">
  <dimension ref="A1:F26"/>
  <sheetViews>
    <sheetView workbookViewId="0">
      <selection activeCell="E8" sqref="E8"/>
    </sheetView>
  </sheetViews>
  <sheetFormatPr defaultRowHeight="13.2"/>
  <cols>
    <col min="1" max="1" width="15" bestFit="1" customWidth="1"/>
    <col min="2" max="2" width="40.6640625" customWidth="1"/>
    <col min="3" max="3" width="7.109375" bestFit="1" customWidth="1"/>
    <col min="4" max="4" width="10.44140625" bestFit="1" customWidth="1"/>
    <col min="5" max="5" width="11.88671875" bestFit="1" customWidth="1"/>
    <col min="6" max="6" width="14.33203125" bestFit="1" customWidth="1"/>
  </cols>
  <sheetData>
    <row r="1" spans="1:6" ht="14.4">
      <c r="A1" s="515" t="s">
        <v>37</v>
      </c>
      <c r="B1" s="516"/>
      <c r="C1" s="516"/>
      <c r="D1" s="516"/>
      <c r="E1" s="517"/>
      <c r="F1" s="518"/>
    </row>
    <row r="2" spans="1:6" ht="14.4">
      <c r="A2" s="45" t="e">
        <v>#REF!</v>
      </c>
      <c r="B2" s="46"/>
      <c r="C2" s="47"/>
      <c r="D2" s="46"/>
      <c r="E2" s="48"/>
      <c r="F2" s="49"/>
    </row>
    <row r="3" spans="1:6" ht="14.4">
      <c r="A3" s="519" t="e">
        <v>#REF!</v>
      </c>
      <c r="B3" s="520"/>
      <c r="C3" s="520"/>
      <c r="D3" s="520"/>
      <c r="E3" s="48"/>
      <c r="F3" s="49"/>
    </row>
    <row r="4" spans="1:6" ht="14.4">
      <c r="A4" s="45" t="e">
        <v>#REF!</v>
      </c>
      <c r="B4" s="46"/>
      <c r="C4" s="47"/>
      <c r="D4" s="46"/>
      <c r="E4" s="48"/>
      <c r="F4" s="49"/>
    </row>
    <row r="5" spans="1:6">
      <c r="A5" s="521" t="e">
        <v>#REF!</v>
      </c>
      <c r="B5" s="522"/>
      <c r="C5" s="522"/>
      <c r="D5" s="522"/>
      <c r="E5" s="522"/>
      <c r="F5" s="523"/>
    </row>
    <row r="6" spans="1:6">
      <c r="A6" s="524"/>
      <c r="B6" s="525"/>
      <c r="C6" s="525"/>
      <c r="D6" s="525"/>
      <c r="E6" s="525"/>
      <c r="F6" s="526"/>
    </row>
    <row r="7" spans="1:6">
      <c r="A7" s="50"/>
      <c r="B7" s="51" t="s">
        <v>38</v>
      </c>
      <c r="C7" s="52" t="s">
        <v>3</v>
      </c>
      <c r="D7" s="52" t="s">
        <v>39</v>
      </c>
      <c r="E7" s="53" t="s">
        <v>40</v>
      </c>
      <c r="F7" s="54" t="s">
        <v>41</v>
      </c>
    </row>
    <row r="8" spans="1:6" ht="20.399999999999999">
      <c r="A8" s="55" t="s">
        <v>42</v>
      </c>
      <c r="B8" s="72" t="s">
        <v>51</v>
      </c>
      <c r="C8" s="56" t="s">
        <v>9</v>
      </c>
      <c r="D8" s="57">
        <v>43101</v>
      </c>
      <c r="E8" s="57" t="s">
        <v>52</v>
      </c>
      <c r="F8" s="58">
        <f>SUM(F10:F15)</f>
        <v>743.13</v>
      </c>
    </row>
    <row r="9" spans="1:6">
      <c r="A9" s="59" t="s">
        <v>4</v>
      </c>
      <c r="B9" s="59" t="s">
        <v>43</v>
      </c>
      <c r="C9" s="60" t="s">
        <v>3</v>
      </c>
      <c r="D9" s="60" t="s">
        <v>44</v>
      </c>
      <c r="E9" s="60" t="s">
        <v>45</v>
      </c>
      <c r="F9" s="60" t="s">
        <v>46</v>
      </c>
    </row>
    <row r="10" spans="1:6" ht="20.100000000000001" customHeight="1">
      <c r="A10" s="61">
        <v>88309</v>
      </c>
      <c r="B10" s="62" t="s">
        <v>48</v>
      </c>
      <c r="C10" s="63" t="s">
        <v>47</v>
      </c>
      <c r="D10" s="64">
        <v>0.35630000000000001</v>
      </c>
      <c r="E10" s="65">
        <v>17.07</v>
      </c>
      <c r="F10" s="66">
        <f>IF(E10=0,"",ROUND(D10*E10,2))</f>
        <v>6.08</v>
      </c>
    </row>
    <row r="11" spans="1:6" ht="20.100000000000001" customHeight="1">
      <c r="A11" s="61">
        <v>88316</v>
      </c>
      <c r="B11" s="62" t="s">
        <v>49</v>
      </c>
      <c r="C11" s="63" t="s">
        <v>47</v>
      </c>
      <c r="D11" s="64">
        <v>0.1779</v>
      </c>
      <c r="E11" s="65">
        <v>12.22</v>
      </c>
      <c r="F11" s="66">
        <f>IF(E11=0,"",ROUND(D11*E11,2))</f>
        <v>2.17</v>
      </c>
    </row>
    <row r="12" spans="1:6" ht="30.6">
      <c r="A12" s="61" t="s">
        <v>57</v>
      </c>
      <c r="B12" s="62" t="s">
        <v>55</v>
      </c>
      <c r="C12" s="63" t="s">
        <v>14</v>
      </c>
      <c r="D12" s="67">
        <v>5</v>
      </c>
      <c r="E12" s="65">
        <v>0.37</v>
      </c>
      <c r="F12" s="66">
        <f>IF(E12=0,"",ROUND(D12*E12,2))</f>
        <v>1.85</v>
      </c>
    </row>
    <row r="13" spans="1:6" ht="30" customHeight="1">
      <c r="A13" s="61" t="s">
        <v>58</v>
      </c>
      <c r="B13" s="62" t="s">
        <v>56</v>
      </c>
      <c r="C13" s="63" t="s">
        <v>13</v>
      </c>
      <c r="D13" s="64">
        <v>6.8503999999999996</v>
      </c>
      <c r="E13" s="65">
        <v>18.28</v>
      </c>
      <c r="F13" s="66">
        <f>IF(E13=0,"",ROUND(D13*E13,2))</f>
        <v>125.23</v>
      </c>
    </row>
    <row r="14" spans="1:6" ht="30.6">
      <c r="A14" s="61" t="s">
        <v>54</v>
      </c>
      <c r="B14" s="62" t="s">
        <v>53</v>
      </c>
      <c r="C14" s="63" t="s">
        <v>14</v>
      </c>
      <c r="D14" s="67">
        <v>1</v>
      </c>
      <c r="E14" s="65">
        <v>607.79999999999995</v>
      </c>
      <c r="F14" s="66">
        <f>IF(E14=0,"",ROUND(D14*E14,2))</f>
        <v>607.79999999999995</v>
      </c>
    </row>
    <row r="15" spans="1:6">
      <c r="A15" s="61"/>
      <c r="B15" s="62"/>
      <c r="C15" s="63"/>
      <c r="D15" s="64"/>
      <c r="E15" s="65"/>
      <c r="F15" s="68"/>
    </row>
    <row r="16" spans="1:6">
      <c r="A16" s="69" t="s">
        <v>50</v>
      </c>
      <c r="B16" s="70"/>
      <c r="C16" s="70"/>
      <c r="D16" s="70"/>
      <c r="E16" s="70"/>
      <c r="F16" s="71"/>
    </row>
    <row r="18" spans="1:6">
      <c r="A18" s="55" t="s">
        <v>36</v>
      </c>
      <c r="B18" s="73" t="s">
        <v>59</v>
      </c>
      <c r="C18" s="74" t="s">
        <v>9</v>
      </c>
      <c r="D18" s="57">
        <v>43101</v>
      </c>
      <c r="E18" s="57" t="s">
        <v>52</v>
      </c>
      <c r="F18" s="58">
        <f>SUM(F20:F25)</f>
        <v>743.13</v>
      </c>
    </row>
    <row r="19" spans="1:6">
      <c r="A19" s="59" t="s">
        <v>4</v>
      </c>
      <c r="B19" s="59" t="s">
        <v>43</v>
      </c>
      <c r="C19" s="60" t="s">
        <v>3</v>
      </c>
      <c r="D19" s="60" t="s">
        <v>44</v>
      </c>
      <c r="E19" s="60" t="s">
        <v>45</v>
      </c>
      <c r="F19" s="60" t="s">
        <v>46</v>
      </c>
    </row>
    <row r="20" spans="1:6">
      <c r="A20" s="61">
        <v>88309</v>
      </c>
      <c r="B20" s="62" t="s">
        <v>48</v>
      </c>
      <c r="C20" s="63" t="s">
        <v>47</v>
      </c>
      <c r="D20" s="64">
        <v>0.35630000000000001</v>
      </c>
      <c r="E20" s="65">
        <v>17.07</v>
      </c>
      <c r="F20" s="66">
        <f>IF(E20=0,"",ROUND(D20*E20,2))</f>
        <v>6.08</v>
      </c>
    </row>
    <row r="21" spans="1:6">
      <c r="A21" s="61">
        <v>88316</v>
      </c>
      <c r="B21" s="62" t="s">
        <v>49</v>
      </c>
      <c r="C21" s="63" t="s">
        <v>47</v>
      </c>
      <c r="D21" s="64">
        <v>0.1779</v>
      </c>
      <c r="E21" s="65">
        <v>12.22</v>
      </c>
      <c r="F21" s="66">
        <f>IF(E21=0,"",ROUND(D21*E21,2))</f>
        <v>2.17</v>
      </c>
    </row>
    <row r="22" spans="1:6" ht="30.6">
      <c r="A22" s="61" t="s">
        <v>57</v>
      </c>
      <c r="B22" s="62" t="s">
        <v>55</v>
      </c>
      <c r="C22" s="63" t="s">
        <v>14</v>
      </c>
      <c r="D22" s="67">
        <v>5</v>
      </c>
      <c r="E22" s="65">
        <v>0.37</v>
      </c>
      <c r="F22" s="66">
        <f>IF(E22=0,"",ROUND(D22*E22,2))</f>
        <v>1.85</v>
      </c>
    </row>
    <row r="23" spans="1:6" ht="20.399999999999999">
      <c r="A23" s="61" t="s">
        <v>58</v>
      </c>
      <c r="B23" s="62" t="s">
        <v>56</v>
      </c>
      <c r="C23" s="63" t="s">
        <v>13</v>
      </c>
      <c r="D23" s="64">
        <v>6.8503999999999996</v>
      </c>
      <c r="E23" s="65">
        <v>18.28</v>
      </c>
      <c r="F23" s="66">
        <f>IF(E23=0,"",ROUND(D23*E23,2))</f>
        <v>125.23</v>
      </c>
    </row>
    <row r="24" spans="1:6" ht="30.6">
      <c r="A24" s="61" t="s">
        <v>54</v>
      </c>
      <c r="B24" s="62" t="s">
        <v>53</v>
      </c>
      <c r="C24" s="63" t="s">
        <v>14</v>
      </c>
      <c r="D24" s="67">
        <v>1</v>
      </c>
      <c r="E24" s="65">
        <v>607.79999999999995</v>
      </c>
      <c r="F24" s="66">
        <f>IF(E24=0,"",ROUND(D24*E24,2))</f>
        <v>607.79999999999995</v>
      </c>
    </row>
    <row r="25" spans="1:6">
      <c r="A25" s="61"/>
      <c r="B25" s="62"/>
      <c r="C25" s="63"/>
      <c r="D25" s="64"/>
      <c r="E25" s="65"/>
      <c r="F25" s="68"/>
    </row>
    <row r="26" spans="1:6">
      <c r="A26" s="69" t="s">
        <v>50</v>
      </c>
      <c r="B26" s="70"/>
      <c r="C26" s="70"/>
      <c r="D26" s="70"/>
      <c r="E26" s="70"/>
      <c r="F26" s="71"/>
    </row>
  </sheetData>
  <mergeCells count="3">
    <mergeCell ref="A1:F1"/>
    <mergeCell ref="A3:D3"/>
    <mergeCell ref="A5:F6"/>
  </mergeCells>
  <pageMargins left="0.511811024" right="0.511811024" top="0.78740157499999996" bottom="0.78740157499999996" header="0.31496062000000002" footer="0.31496062000000002"/>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13B448-8833-436C-9739-29499BB4044C}">
  <dimension ref="A1:Q52"/>
  <sheetViews>
    <sheetView view="pageBreakPreview" topLeftCell="C25" zoomScale="115" zoomScaleNormal="100" zoomScaleSheetLayoutView="115" workbookViewId="0">
      <selection activeCell="E5" sqref="E5:G8"/>
    </sheetView>
  </sheetViews>
  <sheetFormatPr defaultRowHeight="13.2"/>
  <cols>
    <col min="4" max="4" width="46.5546875" customWidth="1"/>
    <col min="7" max="7" width="8.109375" customWidth="1"/>
    <col min="10" max="10" width="13" customWidth="1"/>
    <col min="12" max="12" width="7" customWidth="1"/>
    <col min="13" max="13" width="11.6640625" customWidth="1"/>
  </cols>
  <sheetData>
    <row r="1" spans="1:17" ht="15.6">
      <c r="A1" s="358" t="s">
        <v>106</v>
      </c>
      <c r="B1" s="359"/>
      <c r="C1" s="359"/>
      <c r="D1" s="359"/>
      <c r="E1" s="359"/>
      <c r="F1" s="359"/>
      <c r="G1" s="359"/>
      <c r="H1" s="359"/>
      <c r="I1" s="359"/>
      <c r="J1" s="359"/>
      <c r="K1" s="359"/>
      <c r="L1" s="359"/>
      <c r="M1" s="359"/>
      <c r="N1" s="359"/>
      <c r="O1" s="359"/>
      <c r="P1" s="359"/>
      <c r="Q1" s="360"/>
    </row>
    <row r="2" spans="1:17">
      <c r="A2" s="110"/>
      <c r="B2" s="111"/>
      <c r="C2" s="111"/>
      <c r="D2" s="111"/>
      <c r="E2" s="111"/>
      <c r="F2" s="111"/>
      <c r="G2" s="111"/>
      <c r="H2" s="111"/>
      <c r="I2" s="111"/>
      <c r="J2" s="111"/>
      <c r="K2" s="111"/>
      <c r="L2" s="111"/>
      <c r="M2" s="112"/>
      <c r="N2" s="111"/>
      <c r="O2" s="113"/>
      <c r="P2" s="111"/>
      <c r="Q2" s="114"/>
    </row>
    <row r="3" spans="1:17">
      <c r="A3" s="361" t="s">
        <v>143</v>
      </c>
      <c r="B3" s="362"/>
      <c r="C3" s="362"/>
      <c r="D3" s="363"/>
      <c r="E3" s="367" t="s">
        <v>107</v>
      </c>
      <c r="F3" s="368"/>
      <c r="G3" s="369"/>
      <c r="H3" s="370" t="s">
        <v>108</v>
      </c>
      <c r="I3" s="371"/>
      <c r="J3" s="372" t="s">
        <v>109</v>
      </c>
      <c r="K3" s="373"/>
      <c r="L3" s="374"/>
      <c r="M3" s="367" t="s">
        <v>110</v>
      </c>
      <c r="N3" s="368"/>
      <c r="O3" s="369"/>
      <c r="P3" s="388" t="s">
        <v>111</v>
      </c>
      <c r="Q3" s="389"/>
    </row>
    <row r="4" spans="1:17">
      <c r="A4" s="364"/>
      <c r="B4" s="365"/>
      <c r="C4" s="365"/>
      <c r="D4" s="366"/>
      <c r="E4" s="334" t="s">
        <v>163</v>
      </c>
      <c r="F4" s="375"/>
      <c r="G4" s="335"/>
      <c r="H4" s="334" t="s">
        <v>113</v>
      </c>
      <c r="I4" s="335"/>
      <c r="J4" s="334" t="s">
        <v>113</v>
      </c>
      <c r="K4" s="375"/>
      <c r="L4" s="335"/>
      <c r="M4" s="334" t="s">
        <v>163</v>
      </c>
      <c r="N4" s="375"/>
      <c r="O4" s="335"/>
      <c r="P4" s="332" t="s">
        <v>112</v>
      </c>
      <c r="Q4" s="333"/>
    </row>
    <row r="5" spans="1:17">
      <c r="A5" s="336" t="s">
        <v>144</v>
      </c>
      <c r="B5" s="337"/>
      <c r="C5" s="337"/>
      <c r="D5" s="338"/>
      <c r="E5" s="342" t="s">
        <v>114</v>
      </c>
      <c r="F5" s="343"/>
      <c r="G5" s="344"/>
      <c r="H5" s="348" t="s">
        <v>115</v>
      </c>
      <c r="I5" s="349"/>
      <c r="J5" s="352" t="s">
        <v>164</v>
      </c>
      <c r="K5" s="353"/>
      <c r="L5" s="353"/>
      <c r="M5" s="353"/>
      <c r="N5" s="353"/>
      <c r="O5" s="354"/>
      <c r="P5" s="334"/>
      <c r="Q5" s="335"/>
    </row>
    <row r="6" spans="1:17">
      <c r="A6" s="339"/>
      <c r="B6" s="340"/>
      <c r="C6" s="340"/>
      <c r="D6" s="341"/>
      <c r="E6" s="345"/>
      <c r="F6" s="346"/>
      <c r="G6" s="347"/>
      <c r="H6" s="350"/>
      <c r="I6" s="351"/>
      <c r="J6" s="355" t="s">
        <v>165</v>
      </c>
      <c r="K6" s="356"/>
      <c r="L6" s="356"/>
      <c r="M6" s="356"/>
      <c r="N6" s="356"/>
      <c r="O6" s="356"/>
      <c r="P6" s="356"/>
      <c r="Q6" s="357"/>
    </row>
    <row r="7" spans="1:17">
      <c r="A7" s="361" t="s">
        <v>145</v>
      </c>
      <c r="B7" s="362"/>
      <c r="C7" s="362"/>
      <c r="D7" s="363"/>
      <c r="E7" s="342" t="s">
        <v>116</v>
      </c>
      <c r="F7" s="343"/>
      <c r="G7" s="344"/>
      <c r="H7" s="387">
        <v>44637</v>
      </c>
      <c r="I7" s="344"/>
      <c r="J7" s="388" t="s">
        <v>117</v>
      </c>
      <c r="K7" s="389"/>
      <c r="L7" s="388" t="s">
        <v>118</v>
      </c>
      <c r="M7" s="389"/>
      <c r="N7" s="388" t="s">
        <v>119</v>
      </c>
      <c r="O7" s="389"/>
      <c r="P7" s="388" t="s">
        <v>120</v>
      </c>
      <c r="Q7" s="389"/>
    </row>
    <row r="8" spans="1:17">
      <c r="A8" s="364"/>
      <c r="B8" s="365"/>
      <c r="C8" s="365"/>
      <c r="D8" s="366"/>
      <c r="E8" s="345"/>
      <c r="F8" s="346"/>
      <c r="G8" s="347"/>
      <c r="H8" s="345"/>
      <c r="I8" s="347"/>
      <c r="J8" s="397">
        <v>536144.82999999996</v>
      </c>
      <c r="K8" s="398"/>
      <c r="L8" s="399">
        <v>281623.94</v>
      </c>
      <c r="M8" s="400"/>
      <c r="N8" s="401">
        <f>P44</f>
        <v>40680.53</v>
      </c>
      <c r="O8" s="402"/>
      <c r="P8" s="401">
        <f>L8-N8</f>
        <v>240943.41</v>
      </c>
      <c r="Q8" s="402"/>
    </row>
    <row r="9" spans="1:17">
      <c r="A9" s="376" t="s">
        <v>0</v>
      </c>
      <c r="B9" s="378" t="s">
        <v>121</v>
      </c>
      <c r="C9" s="379"/>
      <c r="D9" s="380"/>
      <c r="E9" s="378" t="s">
        <v>122</v>
      </c>
      <c r="F9" s="379"/>
      <c r="G9" s="380"/>
      <c r="H9" s="384" t="s">
        <v>123</v>
      </c>
      <c r="I9" s="385"/>
      <c r="J9" s="386"/>
      <c r="K9" s="378" t="s">
        <v>14</v>
      </c>
      <c r="L9" s="380"/>
      <c r="M9" s="390" t="s">
        <v>124</v>
      </c>
      <c r="N9" s="392" t="s">
        <v>125</v>
      </c>
      <c r="O9" s="393"/>
      <c r="P9" s="393"/>
      <c r="Q9" s="394"/>
    </row>
    <row r="10" spans="1:17" ht="24">
      <c r="A10" s="377"/>
      <c r="B10" s="381"/>
      <c r="C10" s="382"/>
      <c r="D10" s="383"/>
      <c r="E10" s="381" t="s">
        <v>126</v>
      </c>
      <c r="F10" s="382"/>
      <c r="G10" s="383"/>
      <c r="H10" s="115" t="s">
        <v>127</v>
      </c>
      <c r="I10" s="115" t="s">
        <v>128</v>
      </c>
      <c r="J10" s="115" t="s">
        <v>129</v>
      </c>
      <c r="K10" s="381"/>
      <c r="L10" s="383"/>
      <c r="M10" s="391"/>
      <c r="N10" s="384" t="s">
        <v>128</v>
      </c>
      <c r="O10" s="386"/>
      <c r="P10" s="384" t="s">
        <v>129</v>
      </c>
      <c r="Q10" s="386"/>
    </row>
    <row r="11" spans="1:17" ht="13.8">
      <c r="A11" s="156">
        <v>1</v>
      </c>
      <c r="B11" s="448" t="s">
        <v>11</v>
      </c>
      <c r="C11" s="449"/>
      <c r="D11" s="449"/>
      <c r="E11" s="449"/>
      <c r="F11" s="449"/>
      <c r="G11" s="449"/>
      <c r="H11" s="449"/>
      <c r="I11" s="449"/>
      <c r="J11" s="449"/>
      <c r="K11" s="449"/>
      <c r="L11" s="449"/>
      <c r="M11" s="449"/>
      <c r="N11" s="449"/>
      <c r="O11" s="449"/>
      <c r="P11" s="450">
        <f>P12+P13</f>
        <v>14593.216839999999</v>
      </c>
      <c r="Q11" s="451"/>
    </row>
    <row r="12" spans="1:17" ht="50.25" customHeight="1">
      <c r="A12" s="157" t="s">
        <v>10</v>
      </c>
      <c r="B12" s="298" t="s">
        <v>68</v>
      </c>
      <c r="C12" s="403"/>
      <c r="D12" s="299"/>
      <c r="E12" s="404">
        <v>2</v>
      </c>
      <c r="F12" s="405"/>
      <c r="G12" s="406"/>
      <c r="H12" s="116">
        <v>2</v>
      </c>
      <c r="I12" s="117">
        <v>0</v>
      </c>
      <c r="J12" s="116">
        <f>H12+I12</f>
        <v>2</v>
      </c>
      <c r="K12" s="404" t="s">
        <v>9</v>
      </c>
      <c r="L12" s="406"/>
      <c r="M12" s="14">
        <v>236.24916999999999</v>
      </c>
      <c r="N12" s="395">
        <f>I12*M12</f>
        <v>0</v>
      </c>
      <c r="O12" s="407"/>
      <c r="P12" s="395">
        <f>J12*M12</f>
        <v>472.49833999999998</v>
      </c>
      <c r="Q12" s="396"/>
    </row>
    <row r="13" spans="1:17" ht="23.25" customHeight="1">
      <c r="A13" s="157" t="s">
        <v>98</v>
      </c>
      <c r="B13" s="298" t="s">
        <v>149</v>
      </c>
      <c r="C13" s="403"/>
      <c r="D13" s="299"/>
      <c r="E13" s="405">
        <v>25</v>
      </c>
      <c r="F13" s="405"/>
      <c r="G13" s="405"/>
      <c r="H13" s="116">
        <v>25</v>
      </c>
      <c r="I13" s="117">
        <v>0</v>
      </c>
      <c r="J13" s="116">
        <f>H13+I13</f>
        <v>25</v>
      </c>
      <c r="K13" s="404" t="s">
        <v>9</v>
      </c>
      <c r="L13" s="406"/>
      <c r="M13" s="125">
        <v>564.82873999999993</v>
      </c>
      <c r="N13" s="395">
        <f>I13*M13</f>
        <v>0</v>
      </c>
      <c r="O13" s="407"/>
      <c r="P13" s="395">
        <f>J13*M13</f>
        <v>14120.718499999999</v>
      </c>
      <c r="Q13" s="396"/>
    </row>
    <row r="14" spans="1:17">
      <c r="A14" s="540" t="s">
        <v>153</v>
      </c>
      <c r="B14" s="439"/>
      <c r="C14" s="439"/>
      <c r="D14" s="439"/>
      <c r="E14" s="439"/>
      <c r="F14" s="439"/>
      <c r="G14" s="439"/>
      <c r="H14" s="439"/>
      <c r="I14" s="439"/>
      <c r="J14" s="439"/>
      <c r="K14" s="439"/>
      <c r="L14" s="439"/>
      <c r="M14" s="439"/>
      <c r="N14" s="439"/>
      <c r="O14" s="439"/>
      <c r="P14" s="439"/>
      <c r="Q14" s="440"/>
    </row>
    <row r="15" spans="1:17">
      <c r="A15" s="158">
        <v>2</v>
      </c>
      <c r="B15" s="452" t="s">
        <v>93</v>
      </c>
      <c r="C15" s="452"/>
      <c r="D15" s="452"/>
      <c r="E15" s="452"/>
      <c r="F15" s="452"/>
      <c r="G15" s="452"/>
      <c r="H15" s="452"/>
      <c r="I15" s="452"/>
      <c r="J15" s="452"/>
      <c r="K15" s="452"/>
      <c r="L15" s="452"/>
      <c r="M15" s="452"/>
      <c r="N15" s="452"/>
      <c r="O15" s="452"/>
      <c r="P15" s="441">
        <f>N16+N17+N18+N19</f>
        <v>0</v>
      </c>
      <c r="Q15" s="442"/>
    </row>
    <row r="16" spans="1:17">
      <c r="A16" s="159" t="s">
        <v>60</v>
      </c>
      <c r="B16" s="425" t="s">
        <v>83</v>
      </c>
      <c r="C16" s="426"/>
      <c r="D16" s="427"/>
      <c r="E16" s="404">
        <v>570.15</v>
      </c>
      <c r="F16" s="405"/>
      <c r="G16" s="406"/>
      <c r="H16" s="136">
        <v>570.15</v>
      </c>
      <c r="I16" s="11">
        <v>0</v>
      </c>
      <c r="J16" s="136">
        <f>I16+H16</f>
        <v>570.15</v>
      </c>
      <c r="K16" s="404" t="s">
        <v>9</v>
      </c>
      <c r="L16" s="406"/>
      <c r="M16" s="14">
        <v>1.5</v>
      </c>
      <c r="N16" s="395">
        <f>I16*M16</f>
        <v>0</v>
      </c>
      <c r="O16" s="407"/>
      <c r="P16" s="395">
        <f>J16*M16</f>
        <v>855.22499999999991</v>
      </c>
      <c r="Q16" s="396"/>
    </row>
    <row r="17" spans="1:17" ht="33" customHeight="1">
      <c r="A17" s="159" t="s">
        <v>63</v>
      </c>
      <c r="B17" s="428" t="s">
        <v>150</v>
      </c>
      <c r="C17" s="429"/>
      <c r="D17" s="430"/>
      <c r="E17" s="404">
        <v>186.8</v>
      </c>
      <c r="F17" s="405"/>
      <c r="G17" s="406"/>
      <c r="H17" s="116">
        <v>186.8</v>
      </c>
      <c r="I17" s="117">
        <v>0</v>
      </c>
      <c r="J17" s="136">
        <f>I17+H17</f>
        <v>186.8</v>
      </c>
      <c r="K17" s="404" t="s">
        <v>13</v>
      </c>
      <c r="L17" s="406"/>
      <c r="M17" s="118">
        <v>53.36</v>
      </c>
      <c r="N17" s="395">
        <f>I17*M17</f>
        <v>0</v>
      </c>
      <c r="O17" s="407"/>
      <c r="P17" s="395">
        <f>J17*M17</f>
        <v>9967.648000000001</v>
      </c>
      <c r="Q17" s="396"/>
    </row>
    <row r="18" spans="1:17" ht="34.5" customHeight="1">
      <c r="A18" s="159" t="s">
        <v>99</v>
      </c>
      <c r="B18" s="298" t="s">
        <v>158</v>
      </c>
      <c r="C18" s="403"/>
      <c r="D18" s="299"/>
      <c r="E18" s="404">
        <v>515.91</v>
      </c>
      <c r="F18" s="405"/>
      <c r="G18" s="406"/>
      <c r="H18" s="136">
        <v>515.91</v>
      </c>
      <c r="I18" s="11">
        <v>0</v>
      </c>
      <c r="J18" s="136">
        <f>I18+H18</f>
        <v>515.91</v>
      </c>
      <c r="K18" s="404" t="s">
        <v>9</v>
      </c>
      <c r="L18" s="406"/>
      <c r="M18" s="118">
        <v>87.28</v>
      </c>
      <c r="N18" s="395">
        <f>I18*M18</f>
        <v>0</v>
      </c>
      <c r="O18" s="407"/>
      <c r="P18" s="395">
        <f>J18*M18</f>
        <v>45028.624799999998</v>
      </c>
      <c r="Q18" s="396"/>
    </row>
    <row r="19" spans="1:17" ht="23.25" customHeight="1">
      <c r="A19" s="159" t="s">
        <v>100</v>
      </c>
      <c r="B19" s="435" t="s">
        <v>152</v>
      </c>
      <c r="C19" s="436"/>
      <c r="D19" s="437"/>
      <c r="E19" s="404">
        <v>180.8</v>
      </c>
      <c r="F19" s="405"/>
      <c r="G19" s="406"/>
      <c r="H19" s="136">
        <v>180.8</v>
      </c>
      <c r="I19" s="11">
        <v>0</v>
      </c>
      <c r="J19" s="136">
        <f>I19+H19</f>
        <v>180.8</v>
      </c>
      <c r="K19" s="404" t="s">
        <v>13</v>
      </c>
      <c r="L19" s="406"/>
      <c r="M19" s="129">
        <v>42.72</v>
      </c>
      <c r="N19" s="395">
        <f>I19*M19</f>
        <v>0</v>
      </c>
      <c r="O19" s="407"/>
      <c r="P19" s="395">
        <f>J19*M19</f>
        <v>7723.7759999999998</v>
      </c>
      <c r="Q19" s="396"/>
    </row>
    <row r="20" spans="1:17">
      <c r="A20" s="158"/>
      <c r="B20" s="439" t="s">
        <v>154</v>
      </c>
      <c r="C20" s="439"/>
      <c r="D20" s="439"/>
      <c r="E20" s="439"/>
      <c r="F20" s="439"/>
      <c r="G20" s="439"/>
      <c r="H20" s="439"/>
      <c r="I20" s="439"/>
      <c r="J20" s="439"/>
      <c r="K20" s="439"/>
      <c r="L20" s="439"/>
      <c r="M20" s="439"/>
      <c r="N20" s="439"/>
      <c r="O20" s="439"/>
      <c r="P20" s="410"/>
      <c r="Q20" s="411"/>
    </row>
    <row r="21" spans="1:17">
      <c r="A21" s="160">
        <v>3</v>
      </c>
      <c r="B21" s="452" t="s">
        <v>93</v>
      </c>
      <c r="C21" s="452"/>
      <c r="D21" s="452"/>
      <c r="E21" s="120"/>
      <c r="F21" s="120"/>
      <c r="G21" s="120"/>
      <c r="H21" s="121"/>
      <c r="I21" s="122"/>
      <c r="J21" s="121"/>
      <c r="K21" s="120"/>
      <c r="L21" s="120"/>
      <c r="M21" s="123"/>
      <c r="N21" s="124"/>
      <c r="O21" s="124"/>
      <c r="P21" s="441">
        <f>N22+N23+N24+N25</f>
        <v>0</v>
      </c>
      <c r="Q21" s="442"/>
    </row>
    <row r="22" spans="1:17">
      <c r="A22" s="159" t="s">
        <v>61</v>
      </c>
      <c r="B22" s="425" t="s">
        <v>83</v>
      </c>
      <c r="C22" s="426"/>
      <c r="D22" s="427"/>
      <c r="E22" s="404">
        <v>360</v>
      </c>
      <c r="F22" s="405"/>
      <c r="G22" s="406"/>
      <c r="H22" s="136">
        <v>360</v>
      </c>
      <c r="I22" s="11">
        <v>0</v>
      </c>
      <c r="J22" s="136">
        <f>I22+H22</f>
        <v>360</v>
      </c>
      <c r="K22" s="404" t="s">
        <v>9</v>
      </c>
      <c r="L22" s="406"/>
      <c r="M22" s="14">
        <v>1.5</v>
      </c>
      <c r="N22" s="395">
        <f>I22*M22</f>
        <v>0</v>
      </c>
      <c r="O22" s="407"/>
      <c r="P22" s="395">
        <f>J22*M22</f>
        <v>540</v>
      </c>
      <c r="Q22" s="396"/>
    </row>
    <row r="23" spans="1:17" ht="36" customHeight="1">
      <c r="A23" s="159" t="s">
        <v>72</v>
      </c>
      <c r="B23" s="428" t="s">
        <v>150</v>
      </c>
      <c r="C23" s="429"/>
      <c r="D23" s="430"/>
      <c r="E23" s="404">
        <v>126</v>
      </c>
      <c r="F23" s="405"/>
      <c r="G23" s="406"/>
      <c r="H23" s="136">
        <v>126</v>
      </c>
      <c r="I23" s="11">
        <v>0</v>
      </c>
      <c r="J23" s="136">
        <f>I23+H23</f>
        <v>126</v>
      </c>
      <c r="K23" s="404" t="s">
        <v>13</v>
      </c>
      <c r="L23" s="406"/>
      <c r="M23" s="118">
        <v>53.36</v>
      </c>
      <c r="N23" s="395">
        <f>I23*M23</f>
        <v>0</v>
      </c>
      <c r="O23" s="407"/>
      <c r="P23" s="395">
        <f>J23*M23</f>
        <v>6723.36</v>
      </c>
      <c r="Q23" s="396"/>
    </row>
    <row r="24" spans="1:17" ht="33" customHeight="1">
      <c r="A24" s="159" t="s">
        <v>78</v>
      </c>
      <c r="B24" s="298" t="s">
        <v>158</v>
      </c>
      <c r="C24" s="403"/>
      <c r="D24" s="299"/>
      <c r="E24" s="404">
        <v>324</v>
      </c>
      <c r="F24" s="405"/>
      <c r="G24" s="406"/>
      <c r="H24" s="136">
        <v>324</v>
      </c>
      <c r="I24" s="11">
        <v>0</v>
      </c>
      <c r="J24" s="136">
        <f>I24+H24</f>
        <v>324</v>
      </c>
      <c r="K24" s="404" t="s">
        <v>9</v>
      </c>
      <c r="L24" s="406"/>
      <c r="M24" s="118">
        <v>87.28</v>
      </c>
      <c r="N24" s="395">
        <f>I24*M24</f>
        <v>0</v>
      </c>
      <c r="O24" s="407"/>
      <c r="P24" s="395">
        <f>J24*M24</f>
        <v>28278.720000000001</v>
      </c>
      <c r="Q24" s="396"/>
    </row>
    <row r="25" spans="1:17" ht="21.75" customHeight="1">
      <c r="A25" s="159" t="s">
        <v>85</v>
      </c>
      <c r="B25" s="435" t="s">
        <v>152</v>
      </c>
      <c r="C25" s="436"/>
      <c r="D25" s="437"/>
      <c r="E25" s="404">
        <v>120</v>
      </c>
      <c r="F25" s="405"/>
      <c r="G25" s="406"/>
      <c r="H25" s="136">
        <v>120</v>
      </c>
      <c r="I25" s="11">
        <v>0</v>
      </c>
      <c r="J25" s="136">
        <f>I25+H25</f>
        <v>120</v>
      </c>
      <c r="K25" s="404" t="s">
        <v>13</v>
      </c>
      <c r="L25" s="406"/>
      <c r="M25" s="128">
        <v>42.72</v>
      </c>
      <c r="N25" s="395">
        <f>I25*M25</f>
        <v>0</v>
      </c>
      <c r="O25" s="407"/>
      <c r="P25" s="395">
        <f>J25*M25</f>
        <v>5126.3999999999996</v>
      </c>
      <c r="Q25" s="396"/>
    </row>
    <row r="26" spans="1:17">
      <c r="A26" s="540" t="s">
        <v>147</v>
      </c>
      <c r="B26" s="439"/>
      <c r="C26" s="439"/>
      <c r="D26" s="439"/>
      <c r="E26" s="439"/>
      <c r="F26" s="439"/>
      <c r="G26" s="439"/>
      <c r="H26" s="439"/>
      <c r="I26" s="439"/>
      <c r="J26" s="439"/>
      <c r="K26" s="439"/>
      <c r="L26" s="439"/>
      <c r="M26" s="439"/>
      <c r="N26" s="439"/>
      <c r="O26" s="439"/>
      <c r="P26" s="410"/>
      <c r="Q26" s="411"/>
    </row>
    <row r="27" spans="1:17" ht="13.8">
      <c r="A27" s="161">
        <v>4</v>
      </c>
      <c r="B27" s="462" t="s">
        <v>148</v>
      </c>
      <c r="C27" s="452"/>
      <c r="D27" s="452"/>
      <c r="E27" s="452"/>
      <c r="F27" s="452"/>
      <c r="G27" s="452"/>
      <c r="H27" s="452"/>
      <c r="I27" s="452"/>
      <c r="J27" s="452"/>
      <c r="K27" s="452"/>
      <c r="L27" s="452"/>
      <c r="M27" s="452"/>
      <c r="N27" s="452"/>
      <c r="O27" s="452"/>
      <c r="P27" s="408" t="e">
        <f>SUM(P28,P29,P30,P31)</f>
        <v>#REF!</v>
      </c>
      <c r="Q27" s="409"/>
    </row>
    <row r="28" spans="1:17">
      <c r="A28" s="157" t="s">
        <v>75</v>
      </c>
      <c r="B28" s="425" t="s">
        <v>83</v>
      </c>
      <c r="C28" s="426"/>
      <c r="D28" s="427"/>
      <c r="E28" s="405">
        <v>1160</v>
      </c>
      <c r="F28" s="405"/>
      <c r="G28" s="406"/>
      <c r="H28" s="116">
        <v>1160</v>
      </c>
      <c r="I28" s="117">
        <v>0</v>
      </c>
      <c r="J28" s="116">
        <f>H28+I28</f>
        <v>1160</v>
      </c>
      <c r="K28" s="404" t="s">
        <v>9</v>
      </c>
      <c r="L28" s="406"/>
      <c r="M28" s="129" t="e">
        <v>#REF!</v>
      </c>
      <c r="N28" s="395" t="e">
        <f>I28*M28</f>
        <v>#REF!</v>
      </c>
      <c r="O28" s="407"/>
      <c r="P28" s="424" t="e">
        <f>J28*M28</f>
        <v>#REF!</v>
      </c>
      <c r="Q28" s="396"/>
    </row>
    <row r="29" spans="1:17" ht="35.25" customHeight="1">
      <c r="A29" s="157" t="s">
        <v>76</v>
      </c>
      <c r="B29" s="428" t="s">
        <v>150</v>
      </c>
      <c r="C29" s="429"/>
      <c r="D29" s="430"/>
      <c r="E29" s="405">
        <v>469</v>
      </c>
      <c r="F29" s="405"/>
      <c r="G29" s="406"/>
      <c r="H29" s="116">
        <v>469</v>
      </c>
      <c r="I29" s="117">
        <v>0</v>
      </c>
      <c r="J29" s="116">
        <f>H29+I29</f>
        <v>469</v>
      </c>
      <c r="K29" s="404" t="s">
        <v>13</v>
      </c>
      <c r="L29" s="406"/>
      <c r="M29" s="129" t="e">
        <v>#REF!</v>
      </c>
      <c r="N29" s="395" t="e">
        <f>I29*M29</f>
        <v>#REF!</v>
      </c>
      <c r="O29" s="407"/>
      <c r="P29" s="424" t="e">
        <f>J29*M29</f>
        <v>#REF!</v>
      </c>
      <c r="Q29" s="396"/>
    </row>
    <row r="30" spans="1:17" ht="34.5" customHeight="1">
      <c r="A30" s="157" t="s">
        <v>101</v>
      </c>
      <c r="B30" s="298" t="s">
        <v>158</v>
      </c>
      <c r="C30" s="403"/>
      <c r="D30" s="299"/>
      <c r="E30" s="405">
        <v>1020.8</v>
      </c>
      <c r="F30" s="405"/>
      <c r="G30" s="406"/>
      <c r="H30" s="116">
        <v>1020.8</v>
      </c>
      <c r="I30" s="117">
        <v>0</v>
      </c>
      <c r="J30" s="116">
        <f>H30+I30</f>
        <v>1020.8</v>
      </c>
      <c r="K30" s="404" t="s">
        <v>9</v>
      </c>
      <c r="L30" s="406"/>
      <c r="M30" s="129" t="e">
        <v>#REF!</v>
      </c>
      <c r="N30" s="395" t="e">
        <f>I30*M30</f>
        <v>#REF!</v>
      </c>
      <c r="O30" s="407"/>
      <c r="P30" s="424" t="e">
        <f>J30*M30</f>
        <v>#REF!</v>
      </c>
      <c r="Q30" s="396"/>
    </row>
    <row r="31" spans="1:17" ht="22.5" customHeight="1">
      <c r="A31" s="162" t="s">
        <v>102</v>
      </c>
      <c r="B31" s="435" t="s">
        <v>152</v>
      </c>
      <c r="C31" s="436"/>
      <c r="D31" s="437"/>
      <c r="E31" s="536">
        <v>464</v>
      </c>
      <c r="F31" s="536"/>
      <c r="G31" s="537"/>
      <c r="H31" s="163">
        <v>464</v>
      </c>
      <c r="I31" s="164">
        <v>0</v>
      </c>
      <c r="J31" s="163">
        <f>H31+I31</f>
        <v>464</v>
      </c>
      <c r="K31" s="538" t="s">
        <v>13</v>
      </c>
      <c r="L31" s="537"/>
      <c r="M31" s="153" t="e">
        <v>#REF!</v>
      </c>
      <c r="N31" s="412" t="e">
        <f>I31*M31</f>
        <v>#REF!</v>
      </c>
      <c r="O31" s="431"/>
      <c r="P31" s="539" t="e">
        <f>J31*M31</f>
        <v>#REF!</v>
      </c>
      <c r="Q31" s="413"/>
    </row>
    <row r="32" spans="1:17">
      <c r="A32" s="532" t="s">
        <v>155</v>
      </c>
      <c r="B32" s="533"/>
      <c r="C32" s="533"/>
      <c r="D32" s="533"/>
      <c r="E32" s="533"/>
      <c r="F32" s="533"/>
      <c r="G32" s="533"/>
      <c r="H32" s="533"/>
      <c r="I32" s="533"/>
      <c r="J32" s="533"/>
      <c r="K32" s="533"/>
      <c r="L32" s="533"/>
      <c r="M32" s="533"/>
      <c r="N32" s="533"/>
      <c r="O32" s="533"/>
      <c r="P32" s="533"/>
      <c r="Q32" s="534"/>
    </row>
    <row r="33" spans="1:17" ht="12.75" customHeight="1">
      <c r="A33" s="165">
        <v>5</v>
      </c>
      <c r="B33" s="154" t="s">
        <v>82</v>
      </c>
      <c r="C33" s="155"/>
      <c r="D33" s="155"/>
      <c r="E33" s="155"/>
      <c r="F33" s="155"/>
      <c r="G33" s="155"/>
      <c r="H33" s="155"/>
      <c r="I33" s="155"/>
      <c r="J33" s="155"/>
      <c r="K33" s="155"/>
      <c r="L33" s="155"/>
      <c r="M33" s="155"/>
      <c r="N33" s="535">
        <f>N34+N35+N36+N37+N38</f>
        <v>40680.53</v>
      </c>
      <c r="O33" s="455"/>
      <c r="P33" s="443">
        <f>P34+P35+P36+P37+P38</f>
        <v>40680.53</v>
      </c>
      <c r="Q33" s="444"/>
    </row>
    <row r="34" spans="1:17">
      <c r="A34" s="166" t="s">
        <v>79</v>
      </c>
      <c r="B34" s="414" t="s">
        <v>90</v>
      </c>
      <c r="C34" s="415"/>
      <c r="D34" s="415"/>
      <c r="E34" s="404">
        <v>282.56</v>
      </c>
      <c r="F34" s="405"/>
      <c r="G34" s="406"/>
      <c r="H34" s="136">
        <v>0</v>
      </c>
      <c r="I34" s="11">
        <v>282.56</v>
      </c>
      <c r="J34" s="136">
        <f>H34+I34</f>
        <v>282.56</v>
      </c>
      <c r="K34" s="404" t="s">
        <v>70</v>
      </c>
      <c r="L34" s="406"/>
      <c r="M34" s="140">
        <v>4.0999999999999996</v>
      </c>
      <c r="N34" s="395">
        <v>1157.1500000000001</v>
      </c>
      <c r="O34" s="407"/>
      <c r="P34" s="395">
        <v>1157.1500000000001</v>
      </c>
      <c r="Q34" s="396"/>
    </row>
    <row r="35" spans="1:17" ht="22.5" customHeight="1">
      <c r="A35" s="157" t="s">
        <v>80</v>
      </c>
      <c r="B35" s="428" t="s">
        <v>156</v>
      </c>
      <c r="C35" s="429"/>
      <c r="D35" s="430"/>
      <c r="E35" s="404">
        <v>310.5</v>
      </c>
      <c r="F35" s="405"/>
      <c r="G35" s="406"/>
      <c r="H35" s="136">
        <v>0</v>
      </c>
      <c r="I35" s="11">
        <v>310.5</v>
      </c>
      <c r="J35" s="136">
        <f>H35+I35</f>
        <v>310.5</v>
      </c>
      <c r="K35" s="404" t="s">
        <v>13</v>
      </c>
      <c r="L35" s="406"/>
      <c r="M35" s="14">
        <v>101.32</v>
      </c>
      <c r="N35" s="395">
        <v>31458.38</v>
      </c>
      <c r="O35" s="407"/>
      <c r="P35" s="395">
        <v>31458.38</v>
      </c>
      <c r="Q35" s="396"/>
    </row>
    <row r="36" spans="1:17" ht="25.5" customHeight="1">
      <c r="A36" s="157" t="s">
        <v>81</v>
      </c>
      <c r="B36" s="432" t="s">
        <v>157</v>
      </c>
      <c r="C36" s="433"/>
      <c r="D36" s="434"/>
      <c r="E36" s="404">
        <v>1</v>
      </c>
      <c r="F36" s="405"/>
      <c r="G36" s="406"/>
      <c r="H36" s="136">
        <v>0</v>
      </c>
      <c r="I36" s="11">
        <v>0</v>
      </c>
      <c r="J36" s="136">
        <f>H36+I36</f>
        <v>0</v>
      </c>
      <c r="K36" s="404" t="s">
        <v>14</v>
      </c>
      <c r="L36" s="406"/>
      <c r="M36" s="14">
        <v>2231.38</v>
      </c>
      <c r="N36" s="395">
        <f>I36*M36</f>
        <v>0</v>
      </c>
      <c r="O36" s="407"/>
      <c r="P36" s="395">
        <f>J36*M36</f>
        <v>0</v>
      </c>
      <c r="Q36" s="396"/>
    </row>
    <row r="37" spans="1:17" ht="21" customHeight="1">
      <c r="A37" s="157" t="s">
        <v>84</v>
      </c>
      <c r="B37" s="428" t="s">
        <v>92</v>
      </c>
      <c r="C37" s="429"/>
      <c r="D37" s="430"/>
      <c r="E37" s="404">
        <v>18</v>
      </c>
      <c r="F37" s="405"/>
      <c r="G37" s="406"/>
      <c r="H37" s="136">
        <v>0</v>
      </c>
      <c r="I37" s="11">
        <v>0</v>
      </c>
      <c r="J37" s="136">
        <f>H37+I37</f>
        <v>0</v>
      </c>
      <c r="K37" s="404" t="s">
        <v>14</v>
      </c>
      <c r="L37" s="406"/>
      <c r="M37" s="14">
        <v>1245.5899999999999</v>
      </c>
      <c r="N37" s="395">
        <f>I37*M37</f>
        <v>0</v>
      </c>
      <c r="O37" s="407"/>
      <c r="P37" s="395">
        <f>J37*M37</f>
        <v>0</v>
      </c>
      <c r="Q37" s="396"/>
    </row>
    <row r="38" spans="1:17">
      <c r="A38" s="167" t="s">
        <v>103</v>
      </c>
      <c r="B38" s="432" t="s">
        <v>91</v>
      </c>
      <c r="C38" s="433"/>
      <c r="D38" s="434"/>
      <c r="E38" s="404">
        <v>204.56</v>
      </c>
      <c r="F38" s="405"/>
      <c r="G38" s="406"/>
      <c r="H38" s="136">
        <v>0</v>
      </c>
      <c r="I38" s="11">
        <v>204.56</v>
      </c>
      <c r="J38" s="136">
        <f>H38+I38</f>
        <v>204.56</v>
      </c>
      <c r="K38" s="404" t="s">
        <v>70</v>
      </c>
      <c r="L38" s="406"/>
      <c r="M38" s="132">
        <v>39.43</v>
      </c>
      <c r="N38" s="395">
        <v>8065</v>
      </c>
      <c r="O38" s="407"/>
      <c r="P38" s="395">
        <v>8065</v>
      </c>
      <c r="Q38" s="396"/>
    </row>
    <row r="39" spans="1:17">
      <c r="A39" s="168">
        <v>6</v>
      </c>
      <c r="B39" s="453" t="s">
        <v>93</v>
      </c>
      <c r="C39" s="454"/>
      <c r="D39" s="454"/>
      <c r="E39" s="454"/>
      <c r="F39" s="454"/>
      <c r="G39" s="454"/>
      <c r="H39" s="454"/>
      <c r="I39" s="454"/>
      <c r="J39" s="455"/>
      <c r="K39" s="455"/>
      <c r="L39" s="455"/>
      <c r="M39" s="455"/>
      <c r="N39" s="455"/>
      <c r="O39" s="456"/>
      <c r="P39" s="443">
        <f>P40+P41+P42+P43</f>
        <v>0</v>
      </c>
      <c r="Q39" s="444"/>
    </row>
    <row r="40" spans="1:17">
      <c r="A40" s="157" t="s">
        <v>88</v>
      </c>
      <c r="B40" s="428" t="s">
        <v>83</v>
      </c>
      <c r="C40" s="429"/>
      <c r="D40" s="430"/>
      <c r="E40" s="404">
        <v>1871.09</v>
      </c>
      <c r="F40" s="405"/>
      <c r="G40" s="406"/>
      <c r="H40" s="136">
        <v>0</v>
      </c>
      <c r="I40" s="11">
        <v>0</v>
      </c>
      <c r="J40" s="136">
        <f>I40+H40</f>
        <v>0</v>
      </c>
      <c r="K40" s="404" t="s">
        <v>9</v>
      </c>
      <c r="L40" s="406"/>
      <c r="M40" s="129">
        <v>1.5</v>
      </c>
      <c r="N40" s="395">
        <f>I40*M40</f>
        <v>0</v>
      </c>
      <c r="O40" s="407"/>
      <c r="P40" s="395">
        <f>J40*M40</f>
        <v>0</v>
      </c>
      <c r="Q40" s="396"/>
    </row>
    <row r="41" spans="1:17" ht="36" customHeight="1">
      <c r="A41" s="166" t="s">
        <v>89</v>
      </c>
      <c r="B41" s="433" t="s">
        <v>150</v>
      </c>
      <c r="C41" s="433"/>
      <c r="D41" s="433"/>
      <c r="E41" s="404">
        <v>721.35</v>
      </c>
      <c r="F41" s="405"/>
      <c r="G41" s="406"/>
      <c r="H41" s="136">
        <v>0</v>
      </c>
      <c r="I41" s="11">
        <v>0</v>
      </c>
      <c r="J41" s="136">
        <f>I41+H41</f>
        <v>0</v>
      </c>
      <c r="K41" s="404" t="s">
        <v>13</v>
      </c>
      <c r="L41" s="406"/>
      <c r="M41" s="129">
        <v>53.36</v>
      </c>
      <c r="N41" s="395">
        <f>I41*M41</f>
        <v>0</v>
      </c>
      <c r="O41" s="407"/>
      <c r="P41" s="395">
        <f>J41*M41</f>
        <v>0</v>
      </c>
      <c r="Q41" s="396"/>
    </row>
    <row r="42" spans="1:17" ht="33" customHeight="1">
      <c r="A42" s="167" t="s">
        <v>104</v>
      </c>
      <c r="B42" s="298" t="s">
        <v>158</v>
      </c>
      <c r="C42" s="403"/>
      <c r="D42" s="299"/>
      <c r="E42" s="404">
        <v>1658.24</v>
      </c>
      <c r="F42" s="405"/>
      <c r="G42" s="406"/>
      <c r="H42" s="136">
        <v>0</v>
      </c>
      <c r="I42" s="11">
        <v>0</v>
      </c>
      <c r="J42" s="136">
        <f>I42+H42</f>
        <v>0</v>
      </c>
      <c r="K42" s="404" t="s">
        <v>9</v>
      </c>
      <c r="L42" s="406"/>
      <c r="M42" s="129">
        <v>87.28</v>
      </c>
      <c r="N42" s="395">
        <f>I42*M42</f>
        <v>0</v>
      </c>
      <c r="O42" s="407"/>
      <c r="P42" s="395">
        <f>J42*M42</f>
        <v>0</v>
      </c>
      <c r="Q42" s="396"/>
    </row>
    <row r="43" spans="1:17" ht="27" customHeight="1">
      <c r="A43" s="162" t="s">
        <v>105</v>
      </c>
      <c r="B43" s="435" t="s">
        <v>152</v>
      </c>
      <c r="C43" s="436"/>
      <c r="D43" s="437"/>
      <c r="E43" s="404">
        <v>708.35</v>
      </c>
      <c r="F43" s="405"/>
      <c r="G43" s="406"/>
      <c r="H43" s="136">
        <v>0</v>
      </c>
      <c r="I43" s="11">
        <v>0</v>
      </c>
      <c r="J43" s="136">
        <f>I43+H43</f>
        <v>0</v>
      </c>
      <c r="K43" s="419" t="s">
        <v>13</v>
      </c>
      <c r="L43" s="418"/>
      <c r="M43" s="141">
        <v>42.72</v>
      </c>
      <c r="N43" s="412">
        <f>I43*M43</f>
        <v>0</v>
      </c>
      <c r="O43" s="431"/>
      <c r="P43" s="412">
        <f>J43*M43</f>
        <v>0</v>
      </c>
      <c r="Q43" s="413"/>
    </row>
    <row r="44" spans="1:17">
      <c r="A44" s="527" t="s">
        <v>130</v>
      </c>
      <c r="B44" s="502"/>
      <c r="C44" s="502"/>
      <c r="D44" s="502"/>
      <c r="E44" s="502"/>
      <c r="F44" s="502"/>
      <c r="G44" s="502"/>
      <c r="H44" s="502"/>
      <c r="I44" s="503"/>
      <c r="J44" s="507" t="s">
        <v>131</v>
      </c>
      <c r="K44" s="507"/>
      <c r="L44" s="507"/>
      <c r="M44" s="508"/>
      <c r="N44" s="511" t="s">
        <v>132</v>
      </c>
      <c r="O44" s="512"/>
      <c r="P44" s="513">
        <f>N33</f>
        <v>40680.53</v>
      </c>
      <c r="Q44" s="514"/>
    </row>
    <row r="45" spans="1:17">
      <c r="A45" s="528"/>
      <c r="B45" s="505"/>
      <c r="C45" s="505"/>
      <c r="D45" s="505"/>
      <c r="E45" s="505"/>
      <c r="F45" s="505"/>
      <c r="G45" s="505"/>
      <c r="H45" s="505"/>
      <c r="I45" s="506"/>
      <c r="J45" s="509"/>
      <c r="K45" s="509"/>
      <c r="L45" s="509"/>
      <c r="M45" s="510"/>
      <c r="N45" s="445" t="s">
        <v>133</v>
      </c>
      <c r="O45" s="446"/>
      <c r="P45" s="446"/>
      <c r="Q45" s="447"/>
    </row>
    <row r="46" spans="1:17">
      <c r="A46" s="529" t="s">
        <v>134</v>
      </c>
      <c r="B46" s="464"/>
      <c r="C46" s="465"/>
      <c r="D46" s="472" t="s">
        <v>135</v>
      </c>
      <c r="E46" s="473"/>
      <c r="F46" s="473"/>
      <c r="G46" s="474"/>
      <c r="H46" s="475" t="s">
        <v>136</v>
      </c>
      <c r="I46" s="476"/>
      <c r="J46" s="464" t="s">
        <v>137</v>
      </c>
      <c r="K46" s="464"/>
      <c r="L46" s="464"/>
      <c r="M46" s="465"/>
      <c r="N46" s="481" t="s">
        <v>138</v>
      </c>
      <c r="O46" s="482"/>
      <c r="P46" s="482"/>
      <c r="Q46" s="483"/>
    </row>
    <row r="47" spans="1:17">
      <c r="A47" s="530"/>
      <c r="B47" s="467"/>
      <c r="C47" s="468"/>
      <c r="D47" s="367" t="s">
        <v>137</v>
      </c>
      <c r="E47" s="368"/>
      <c r="F47" s="368"/>
      <c r="G47" s="369"/>
      <c r="H47" s="477"/>
      <c r="I47" s="478"/>
      <c r="J47" s="467"/>
      <c r="K47" s="467"/>
      <c r="L47" s="467"/>
      <c r="M47" s="468"/>
      <c r="N47" s="484"/>
      <c r="O47" s="485"/>
      <c r="P47" s="485"/>
      <c r="Q47" s="486"/>
    </row>
    <row r="48" spans="1:17">
      <c r="A48" s="530"/>
      <c r="B48" s="467"/>
      <c r="C48" s="468"/>
      <c r="D48" s="487"/>
      <c r="E48" s="488"/>
      <c r="F48" s="488"/>
      <c r="G48" s="126"/>
      <c r="H48" s="477"/>
      <c r="I48" s="478"/>
      <c r="J48" s="467"/>
      <c r="K48" s="467"/>
      <c r="L48" s="467"/>
      <c r="M48" s="468"/>
      <c r="N48" s="491">
        <f>P44</f>
        <v>40680.53</v>
      </c>
      <c r="O48" s="492"/>
      <c r="P48" s="492"/>
      <c r="Q48" s="493"/>
    </row>
    <row r="49" spans="1:17">
      <c r="A49" s="530"/>
      <c r="B49" s="467"/>
      <c r="C49" s="468"/>
      <c r="D49" s="487"/>
      <c r="E49" s="488"/>
      <c r="F49" s="488"/>
      <c r="G49" s="126"/>
      <c r="H49" s="477"/>
      <c r="I49" s="478"/>
      <c r="J49" s="467"/>
      <c r="K49" s="467"/>
      <c r="L49" s="467"/>
      <c r="M49" s="468"/>
      <c r="N49" s="494"/>
      <c r="O49" s="495"/>
      <c r="P49" s="495"/>
      <c r="Q49" s="496"/>
    </row>
    <row r="50" spans="1:17">
      <c r="A50" s="530"/>
      <c r="B50" s="467"/>
      <c r="C50" s="468"/>
      <c r="D50" s="487"/>
      <c r="E50" s="488"/>
      <c r="F50" s="488"/>
      <c r="G50" s="126"/>
      <c r="H50" s="477"/>
      <c r="I50" s="478"/>
      <c r="J50" s="467"/>
      <c r="K50" s="467"/>
      <c r="L50" s="467"/>
      <c r="M50" s="468"/>
      <c r="N50" s="494"/>
      <c r="O50" s="495"/>
      <c r="P50" s="495"/>
      <c r="Q50" s="496"/>
    </row>
    <row r="51" spans="1:17">
      <c r="A51" s="531"/>
      <c r="B51" s="470"/>
      <c r="C51" s="471"/>
      <c r="D51" s="489"/>
      <c r="E51" s="490"/>
      <c r="F51" s="490"/>
      <c r="G51" s="127"/>
      <c r="H51" s="479"/>
      <c r="I51" s="480"/>
      <c r="J51" s="470"/>
      <c r="K51" s="470"/>
      <c r="L51" s="470"/>
      <c r="M51" s="471"/>
      <c r="N51" s="494"/>
      <c r="O51" s="495"/>
      <c r="P51" s="495"/>
      <c r="Q51" s="496"/>
    </row>
    <row r="52" spans="1:17" ht="22.5" customHeight="1">
      <c r="A52" s="459" t="s">
        <v>139</v>
      </c>
      <c r="B52" s="460"/>
      <c r="C52" s="461"/>
      <c r="D52" s="459" t="s">
        <v>140</v>
      </c>
      <c r="E52" s="460"/>
      <c r="F52" s="460"/>
      <c r="G52" s="461"/>
      <c r="H52" s="459" t="s">
        <v>141</v>
      </c>
      <c r="I52" s="461"/>
      <c r="J52" s="460" t="s">
        <v>142</v>
      </c>
      <c r="K52" s="460"/>
      <c r="L52" s="460"/>
      <c r="M52" s="461"/>
      <c r="N52" s="497"/>
      <c r="O52" s="498"/>
      <c r="P52" s="498"/>
      <c r="Q52" s="499"/>
    </row>
  </sheetData>
  <mergeCells count="189">
    <mergeCell ref="A1:Q1"/>
    <mergeCell ref="A3:D4"/>
    <mergeCell ref="E3:G3"/>
    <mergeCell ref="H3:I3"/>
    <mergeCell ref="J3:L3"/>
    <mergeCell ref="M3:O3"/>
    <mergeCell ref="P3:Q3"/>
    <mergeCell ref="E4:G4"/>
    <mergeCell ref="H4:I4"/>
    <mergeCell ref="J4:L4"/>
    <mergeCell ref="M4:O4"/>
    <mergeCell ref="P4:Q5"/>
    <mergeCell ref="A5:D6"/>
    <mergeCell ref="E5:G6"/>
    <mergeCell ref="H5:I6"/>
    <mergeCell ref="J5:O5"/>
    <mergeCell ref="J6:Q6"/>
    <mergeCell ref="A7:D8"/>
    <mergeCell ref="E7:G8"/>
    <mergeCell ref="H7:I8"/>
    <mergeCell ref="J7:K7"/>
    <mergeCell ref="L7:M7"/>
    <mergeCell ref="N7:O7"/>
    <mergeCell ref="P7:Q7"/>
    <mergeCell ref="J8:K8"/>
    <mergeCell ref="L8:M8"/>
    <mergeCell ref="N8:O8"/>
    <mergeCell ref="P8:Q8"/>
    <mergeCell ref="A9:A10"/>
    <mergeCell ref="B9:D10"/>
    <mergeCell ref="E9:G9"/>
    <mergeCell ref="H9:J9"/>
    <mergeCell ref="K9:L10"/>
    <mergeCell ref="M9:M10"/>
    <mergeCell ref="N9:Q9"/>
    <mergeCell ref="E10:G10"/>
    <mergeCell ref="N10:O10"/>
    <mergeCell ref="P10:Q10"/>
    <mergeCell ref="B11:O11"/>
    <mergeCell ref="P11:Q11"/>
    <mergeCell ref="B12:D12"/>
    <mergeCell ref="E12:G12"/>
    <mergeCell ref="K12:L12"/>
    <mergeCell ref="N12:O12"/>
    <mergeCell ref="P12:Q12"/>
    <mergeCell ref="B13:D13"/>
    <mergeCell ref="E13:G13"/>
    <mergeCell ref="K13:L13"/>
    <mergeCell ref="N13:O13"/>
    <mergeCell ref="P13:Q13"/>
    <mergeCell ref="A14:Q14"/>
    <mergeCell ref="B15:O15"/>
    <mergeCell ref="P15:Q15"/>
    <mergeCell ref="B16:D16"/>
    <mergeCell ref="E16:G16"/>
    <mergeCell ref="K16:L16"/>
    <mergeCell ref="N16:O16"/>
    <mergeCell ref="P16:Q16"/>
    <mergeCell ref="B17:D17"/>
    <mergeCell ref="E17:G17"/>
    <mergeCell ref="K17:L17"/>
    <mergeCell ref="N17:O17"/>
    <mergeCell ref="P17:Q17"/>
    <mergeCell ref="B18:D18"/>
    <mergeCell ref="E18:G18"/>
    <mergeCell ref="K18:L18"/>
    <mergeCell ref="N18:O18"/>
    <mergeCell ref="P18:Q18"/>
    <mergeCell ref="B19:D19"/>
    <mergeCell ref="E19:G19"/>
    <mergeCell ref="K19:L19"/>
    <mergeCell ref="N19:O19"/>
    <mergeCell ref="P19:Q19"/>
    <mergeCell ref="B20:O20"/>
    <mergeCell ref="P20:Q20"/>
    <mergeCell ref="B21:D21"/>
    <mergeCell ref="P21:Q21"/>
    <mergeCell ref="B22:D22"/>
    <mergeCell ref="E22:G22"/>
    <mergeCell ref="K22:L22"/>
    <mergeCell ref="N22:O22"/>
    <mergeCell ref="P22:Q22"/>
    <mergeCell ref="B23:D23"/>
    <mergeCell ref="E23:G23"/>
    <mergeCell ref="K23:L23"/>
    <mergeCell ref="N23:O23"/>
    <mergeCell ref="P23:Q23"/>
    <mergeCell ref="B24:D24"/>
    <mergeCell ref="E24:G24"/>
    <mergeCell ref="K24:L24"/>
    <mergeCell ref="N24:O24"/>
    <mergeCell ref="P24:Q24"/>
    <mergeCell ref="B25:D25"/>
    <mergeCell ref="E25:G25"/>
    <mergeCell ref="K25:L25"/>
    <mergeCell ref="N25:O25"/>
    <mergeCell ref="P25:Q25"/>
    <mergeCell ref="A26:O26"/>
    <mergeCell ref="P26:Q26"/>
    <mergeCell ref="B27:O27"/>
    <mergeCell ref="P27:Q27"/>
    <mergeCell ref="B28:D28"/>
    <mergeCell ref="E28:G28"/>
    <mergeCell ref="K28:L28"/>
    <mergeCell ref="N28:O28"/>
    <mergeCell ref="P28:Q28"/>
    <mergeCell ref="B29:D29"/>
    <mergeCell ref="E29:G29"/>
    <mergeCell ref="K29:L29"/>
    <mergeCell ref="N29:O29"/>
    <mergeCell ref="P29:Q29"/>
    <mergeCell ref="B30:D30"/>
    <mergeCell ref="E30:G30"/>
    <mergeCell ref="K30:L30"/>
    <mergeCell ref="N30:O30"/>
    <mergeCell ref="P30:Q30"/>
    <mergeCell ref="B31:D31"/>
    <mergeCell ref="E31:G31"/>
    <mergeCell ref="K31:L31"/>
    <mergeCell ref="N31:O31"/>
    <mergeCell ref="P31:Q31"/>
    <mergeCell ref="A32:Q32"/>
    <mergeCell ref="N33:O33"/>
    <mergeCell ref="P33:Q33"/>
    <mergeCell ref="B34:D34"/>
    <mergeCell ref="E34:G34"/>
    <mergeCell ref="K34:L34"/>
    <mergeCell ref="N34:O34"/>
    <mergeCell ref="P34:Q34"/>
    <mergeCell ref="B35:D35"/>
    <mergeCell ref="E35:G35"/>
    <mergeCell ref="K35:L35"/>
    <mergeCell ref="N35:O35"/>
    <mergeCell ref="P35:Q35"/>
    <mergeCell ref="B36:D36"/>
    <mergeCell ref="E36:G36"/>
    <mergeCell ref="K36:L36"/>
    <mergeCell ref="N36:O36"/>
    <mergeCell ref="P36:Q36"/>
    <mergeCell ref="B37:D37"/>
    <mergeCell ref="E37:G37"/>
    <mergeCell ref="K37:L37"/>
    <mergeCell ref="N37:O37"/>
    <mergeCell ref="P37:Q37"/>
    <mergeCell ref="B38:D38"/>
    <mergeCell ref="E38:G38"/>
    <mergeCell ref="K38:L38"/>
    <mergeCell ref="N38:O38"/>
    <mergeCell ref="P38:Q38"/>
    <mergeCell ref="B39:O39"/>
    <mergeCell ref="P39:Q39"/>
    <mergeCell ref="B40:D40"/>
    <mergeCell ref="E40:G40"/>
    <mergeCell ref="K40:L40"/>
    <mergeCell ref="N40:O40"/>
    <mergeCell ref="P40:Q40"/>
    <mergeCell ref="B41:D41"/>
    <mergeCell ref="E41:G41"/>
    <mergeCell ref="K41:L41"/>
    <mergeCell ref="N41:O41"/>
    <mergeCell ref="P41:Q41"/>
    <mergeCell ref="B42:D42"/>
    <mergeCell ref="E42:G42"/>
    <mergeCell ref="K42:L42"/>
    <mergeCell ref="N42:O42"/>
    <mergeCell ref="P42:Q42"/>
    <mergeCell ref="N43:O43"/>
    <mergeCell ref="P43:Q43"/>
    <mergeCell ref="A44:I45"/>
    <mergeCell ref="J44:M45"/>
    <mergeCell ref="N44:O44"/>
    <mergeCell ref="P44:Q44"/>
    <mergeCell ref="N45:Q45"/>
    <mergeCell ref="A52:C52"/>
    <mergeCell ref="D52:G52"/>
    <mergeCell ref="H52:I52"/>
    <mergeCell ref="J52:M52"/>
    <mergeCell ref="A46:C51"/>
    <mergeCell ref="B43:D43"/>
    <mergeCell ref="E43:G43"/>
    <mergeCell ref="K43:L43"/>
    <mergeCell ref="D46:G46"/>
    <mergeCell ref="H46:I51"/>
    <mergeCell ref="J46:M51"/>
    <mergeCell ref="N46:Q47"/>
    <mergeCell ref="D47:G47"/>
    <mergeCell ref="D48:F51"/>
    <mergeCell ref="N48:Q48"/>
    <mergeCell ref="N49:Q52"/>
  </mergeCells>
  <printOptions horizontalCentered="1"/>
  <pageMargins left="0.196850393700787" right="0" top="0.59055118110236204" bottom="0" header="0" footer="0"/>
  <pageSetup paperSize="9" scale="74" orientation="landscape" horizontalDpi="300" verticalDpi="300" r:id="rId1"/>
  <rowBreaks count="1" manualBreakCount="1">
    <brk id="31"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564BCB-9191-4CF9-B5F0-B279A44DEAD7}">
  <dimension ref="A1:T52"/>
  <sheetViews>
    <sheetView view="pageBreakPreview" zoomScale="115" zoomScaleNormal="100" zoomScaleSheetLayoutView="115" workbookViewId="0">
      <selection activeCell="E5" sqref="E5:G8"/>
    </sheetView>
  </sheetViews>
  <sheetFormatPr defaultRowHeight="13.2"/>
  <cols>
    <col min="4" max="4" width="46.5546875" customWidth="1"/>
    <col min="7" max="7" width="8.109375" customWidth="1"/>
    <col min="10" max="10" width="13" customWidth="1"/>
    <col min="12" max="12" width="7" customWidth="1"/>
    <col min="13" max="13" width="11.6640625" customWidth="1"/>
  </cols>
  <sheetData>
    <row r="1" spans="1:17" ht="15.6">
      <c r="A1" s="358" t="s">
        <v>106</v>
      </c>
      <c r="B1" s="359"/>
      <c r="C1" s="359"/>
      <c r="D1" s="359"/>
      <c r="E1" s="359"/>
      <c r="F1" s="359"/>
      <c r="G1" s="359"/>
      <c r="H1" s="359"/>
      <c r="I1" s="359"/>
      <c r="J1" s="359"/>
      <c r="K1" s="359"/>
      <c r="L1" s="359"/>
      <c r="M1" s="359"/>
      <c r="N1" s="359"/>
      <c r="O1" s="359"/>
      <c r="P1" s="359"/>
      <c r="Q1" s="360"/>
    </row>
    <row r="2" spans="1:17">
      <c r="A2" s="110"/>
      <c r="B2" s="111"/>
      <c r="C2" s="111"/>
      <c r="D2" s="111"/>
      <c r="E2" s="111"/>
      <c r="F2" s="111"/>
      <c r="G2" s="111"/>
      <c r="H2" s="111"/>
      <c r="I2" s="111"/>
      <c r="J2" s="111"/>
      <c r="K2" s="111"/>
      <c r="L2" s="111"/>
      <c r="M2" s="112"/>
      <c r="N2" s="111"/>
      <c r="O2" s="113"/>
      <c r="P2" s="111"/>
      <c r="Q2" s="114"/>
    </row>
    <row r="3" spans="1:17">
      <c r="A3" s="361" t="s">
        <v>143</v>
      </c>
      <c r="B3" s="362"/>
      <c r="C3" s="362"/>
      <c r="D3" s="363"/>
      <c r="E3" s="367" t="s">
        <v>107</v>
      </c>
      <c r="F3" s="368"/>
      <c r="G3" s="369"/>
      <c r="H3" s="370" t="s">
        <v>108</v>
      </c>
      <c r="I3" s="371"/>
      <c r="J3" s="372" t="s">
        <v>109</v>
      </c>
      <c r="K3" s="373"/>
      <c r="L3" s="374"/>
      <c r="M3" s="367" t="s">
        <v>110</v>
      </c>
      <c r="N3" s="368"/>
      <c r="O3" s="369"/>
      <c r="P3" s="388" t="s">
        <v>111</v>
      </c>
      <c r="Q3" s="389"/>
    </row>
    <row r="4" spans="1:17">
      <c r="A4" s="364"/>
      <c r="B4" s="365"/>
      <c r="C4" s="365"/>
      <c r="D4" s="366"/>
      <c r="E4" s="334" t="s">
        <v>166</v>
      </c>
      <c r="F4" s="375"/>
      <c r="G4" s="335"/>
      <c r="H4" s="334" t="s">
        <v>113</v>
      </c>
      <c r="I4" s="335"/>
      <c r="J4" s="334" t="s">
        <v>113</v>
      </c>
      <c r="K4" s="375"/>
      <c r="L4" s="335"/>
      <c r="M4" s="334" t="s">
        <v>166</v>
      </c>
      <c r="N4" s="375"/>
      <c r="O4" s="335"/>
      <c r="P4" s="332" t="s">
        <v>112</v>
      </c>
      <c r="Q4" s="333"/>
    </row>
    <row r="5" spans="1:17">
      <c r="A5" s="336" t="s">
        <v>144</v>
      </c>
      <c r="B5" s="337"/>
      <c r="C5" s="337"/>
      <c r="D5" s="338"/>
      <c r="E5" s="342" t="s">
        <v>114</v>
      </c>
      <c r="F5" s="343"/>
      <c r="G5" s="344"/>
      <c r="H5" s="348" t="s">
        <v>115</v>
      </c>
      <c r="I5" s="349"/>
      <c r="J5" s="352" t="s">
        <v>167</v>
      </c>
      <c r="K5" s="353"/>
      <c r="L5" s="353"/>
      <c r="M5" s="353"/>
      <c r="N5" s="353"/>
      <c r="O5" s="354"/>
      <c r="P5" s="334"/>
      <c r="Q5" s="335"/>
    </row>
    <row r="6" spans="1:17">
      <c r="A6" s="339"/>
      <c r="B6" s="340"/>
      <c r="C6" s="340"/>
      <c r="D6" s="341"/>
      <c r="E6" s="345"/>
      <c r="F6" s="346"/>
      <c r="G6" s="347"/>
      <c r="H6" s="350"/>
      <c r="I6" s="351"/>
      <c r="J6" s="355" t="s">
        <v>168</v>
      </c>
      <c r="K6" s="356"/>
      <c r="L6" s="356"/>
      <c r="M6" s="356"/>
      <c r="N6" s="356"/>
      <c r="O6" s="356"/>
      <c r="P6" s="356"/>
      <c r="Q6" s="357"/>
    </row>
    <row r="7" spans="1:17">
      <c r="A7" s="361" t="s">
        <v>145</v>
      </c>
      <c r="B7" s="362"/>
      <c r="C7" s="362"/>
      <c r="D7" s="363"/>
      <c r="E7" s="342" t="s">
        <v>116</v>
      </c>
      <c r="F7" s="343"/>
      <c r="G7" s="344"/>
      <c r="H7" s="387">
        <v>44637</v>
      </c>
      <c r="I7" s="344"/>
      <c r="J7" s="388" t="s">
        <v>117</v>
      </c>
      <c r="K7" s="389"/>
      <c r="L7" s="388" t="s">
        <v>118</v>
      </c>
      <c r="M7" s="389"/>
      <c r="N7" s="388" t="s">
        <v>119</v>
      </c>
      <c r="O7" s="389"/>
      <c r="P7" s="388" t="s">
        <v>120</v>
      </c>
      <c r="Q7" s="389"/>
    </row>
    <row r="8" spans="1:17">
      <c r="A8" s="364"/>
      <c r="B8" s="365"/>
      <c r="C8" s="365"/>
      <c r="D8" s="366"/>
      <c r="E8" s="345"/>
      <c r="F8" s="346"/>
      <c r="G8" s="347"/>
      <c r="H8" s="345"/>
      <c r="I8" s="347"/>
      <c r="J8" s="397">
        <v>536144.82999999996</v>
      </c>
      <c r="K8" s="398"/>
      <c r="L8" s="399">
        <v>240943.41</v>
      </c>
      <c r="M8" s="400"/>
      <c r="N8" s="401">
        <f>P44</f>
        <v>240943.41020000001</v>
      </c>
      <c r="O8" s="402"/>
      <c r="P8" s="401">
        <f>L8-N8</f>
        <v>-2.0000000949949026E-4</v>
      </c>
      <c r="Q8" s="402"/>
    </row>
    <row r="9" spans="1:17">
      <c r="A9" s="376" t="s">
        <v>0</v>
      </c>
      <c r="B9" s="378" t="s">
        <v>121</v>
      </c>
      <c r="C9" s="379"/>
      <c r="D9" s="380"/>
      <c r="E9" s="378" t="s">
        <v>122</v>
      </c>
      <c r="F9" s="379"/>
      <c r="G9" s="380"/>
      <c r="H9" s="384" t="s">
        <v>123</v>
      </c>
      <c r="I9" s="385"/>
      <c r="J9" s="386"/>
      <c r="K9" s="378" t="s">
        <v>14</v>
      </c>
      <c r="L9" s="380"/>
      <c r="M9" s="390" t="s">
        <v>124</v>
      </c>
      <c r="N9" s="392" t="s">
        <v>125</v>
      </c>
      <c r="O9" s="393"/>
      <c r="P9" s="393"/>
      <c r="Q9" s="394"/>
    </row>
    <row r="10" spans="1:17" ht="24">
      <c r="A10" s="377"/>
      <c r="B10" s="381"/>
      <c r="C10" s="382"/>
      <c r="D10" s="383"/>
      <c r="E10" s="381" t="s">
        <v>126</v>
      </c>
      <c r="F10" s="382"/>
      <c r="G10" s="383"/>
      <c r="H10" s="115" t="s">
        <v>127</v>
      </c>
      <c r="I10" s="115" t="s">
        <v>128</v>
      </c>
      <c r="J10" s="115" t="s">
        <v>129</v>
      </c>
      <c r="K10" s="381"/>
      <c r="L10" s="383"/>
      <c r="M10" s="391"/>
      <c r="N10" s="384" t="s">
        <v>128</v>
      </c>
      <c r="O10" s="386"/>
      <c r="P10" s="384" t="s">
        <v>129</v>
      </c>
      <c r="Q10" s="386"/>
    </row>
    <row r="11" spans="1:17" ht="13.8">
      <c r="A11" s="156">
        <v>1</v>
      </c>
      <c r="B11" s="448" t="s">
        <v>11</v>
      </c>
      <c r="C11" s="449"/>
      <c r="D11" s="449"/>
      <c r="E11" s="449"/>
      <c r="F11" s="449"/>
      <c r="G11" s="449"/>
      <c r="H11" s="449"/>
      <c r="I11" s="449"/>
      <c r="J11" s="449"/>
      <c r="K11" s="449"/>
      <c r="L11" s="449"/>
      <c r="M11" s="449"/>
      <c r="N11" s="449"/>
      <c r="O11" s="449"/>
      <c r="P11" s="450">
        <f>P12+P13</f>
        <v>14593.216839999999</v>
      </c>
      <c r="Q11" s="451"/>
    </row>
    <row r="12" spans="1:17" ht="50.25" customHeight="1">
      <c r="A12" s="157" t="s">
        <v>10</v>
      </c>
      <c r="B12" s="298" t="s">
        <v>68</v>
      </c>
      <c r="C12" s="403"/>
      <c r="D12" s="299"/>
      <c r="E12" s="404">
        <v>2</v>
      </c>
      <c r="F12" s="405"/>
      <c r="G12" s="406"/>
      <c r="H12" s="116">
        <v>2</v>
      </c>
      <c r="I12" s="117">
        <v>0</v>
      </c>
      <c r="J12" s="116">
        <f>H12+I12</f>
        <v>2</v>
      </c>
      <c r="K12" s="404" t="s">
        <v>9</v>
      </c>
      <c r="L12" s="406"/>
      <c r="M12" s="14">
        <v>236.24916999999999</v>
      </c>
      <c r="N12" s="395">
        <f>I12*M12</f>
        <v>0</v>
      </c>
      <c r="O12" s="407"/>
      <c r="P12" s="395">
        <f>J12*M12</f>
        <v>472.49833999999998</v>
      </c>
      <c r="Q12" s="396"/>
    </row>
    <row r="13" spans="1:17" ht="23.25" customHeight="1">
      <c r="A13" s="157" t="s">
        <v>98</v>
      </c>
      <c r="B13" s="298" t="s">
        <v>149</v>
      </c>
      <c r="C13" s="403"/>
      <c r="D13" s="299"/>
      <c r="E13" s="405">
        <v>25</v>
      </c>
      <c r="F13" s="405"/>
      <c r="G13" s="405"/>
      <c r="H13" s="116">
        <v>25</v>
      </c>
      <c r="I13" s="117">
        <v>0</v>
      </c>
      <c r="J13" s="116">
        <f>H13+I13</f>
        <v>25</v>
      </c>
      <c r="K13" s="404" t="s">
        <v>9</v>
      </c>
      <c r="L13" s="406"/>
      <c r="M13" s="125">
        <v>564.82873999999993</v>
      </c>
      <c r="N13" s="395">
        <f>I13*M13</f>
        <v>0</v>
      </c>
      <c r="O13" s="407"/>
      <c r="P13" s="395">
        <f>J13*M13</f>
        <v>14120.718499999999</v>
      </c>
      <c r="Q13" s="396"/>
    </row>
    <row r="14" spans="1:17">
      <c r="A14" s="540" t="s">
        <v>153</v>
      </c>
      <c r="B14" s="439"/>
      <c r="C14" s="439"/>
      <c r="D14" s="439"/>
      <c r="E14" s="439"/>
      <c r="F14" s="439"/>
      <c r="G14" s="439"/>
      <c r="H14" s="439"/>
      <c r="I14" s="439"/>
      <c r="J14" s="439"/>
      <c r="K14" s="439"/>
      <c r="L14" s="439"/>
      <c r="M14" s="439"/>
      <c r="N14" s="439"/>
      <c r="O14" s="439"/>
      <c r="P14" s="439"/>
      <c r="Q14" s="440"/>
    </row>
    <row r="15" spans="1:17">
      <c r="A15" s="158">
        <v>2</v>
      </c>
      <c r="B15" s="452" t="s">
        <v>93</v>
      </c>
      <c r="C15" s="452"/>
      <c r="D15" s="452"/>
      <c r="E15" s="452"/>
      <c r="F15" s="452"/>
      <c r="G15" s="452"/>
      <c r="H15" s="452"/>
      <c r="I15" s="452"/>
      <c r="J15" s="452"/>
      <c r="K15" s="452"/>
      <c r="L15" s="452"/>
      <c r="M15" s="452"/>
      <c r="N15" s="452"/>
      <c r="O15" s="452"/>
      <c r="P15" s="441">
        <f>SUM(P16:Q19)</f>
        <v>63575.273799999995</v>
      </c>
      <c r="Q15" s="442"/>
    </row>
    <row r="16" spans="1:17">
      <c r="A16" s="159" t="s">
        <v>60</v>
      </c>
      <c r="B16" s="425" t="s">
        <v>83</v>
      </c>
      <c r="C16" s="426"/>
      <c r="D16" s="427"/>
      <c r="E16" s="404">
        <v>570.15</v>
      </c>
      <c r="F16" s="405"/>
      <c r="G16" s="406"/>
      <c r="H16" s="136">
        <v>570.15</v>
      </c>
      <c r="I16" s="11">
        <v>0</v>
      </c>
      <c r="J16" s="136">
        <f>I16+H16</f>
        <v>570.15</v>
      </c>
      <c r="K16" s="404" t="s">
        <v>9</v>
      </c>
      <c r="L16" s="406"/>
      <c r="M16" s="14">
        <v>1.5</v>
      </c>
      <c r="N16" s="395">
        <f>I16*M16</f>
        <v>0</v>
      </c>
      <c r="O16" s="407"/>
      <c r="P16" s="395">
        <f>J16*M16</f>
        <v>855.22499999999991</v>
      </c>
      <c r="Q16" s="396"/>
    </row>
    <row r="17" spans="1:17" ht="33" customHeight="1">
      <c r="A17" s="159" t="s">
        <v>63</v>
      </c>
      <c r="B17" s="428" t="s">
        <v>150</v>
      </c>
      <c r="C17" s="429"/>
      <c r="D17" s="430"/>
      <c r="E17" s="404">
        <v>186.8</v>
      </c>
      <c r="F17" s="405"/>
      <c r="G17" s="406"/>
      <c r="H17" s="116">
        <v>186.8</v>
      </c>
      <c r="I17" s="117">
        <v>0</v>
      </c>
      <c r="J17" s="136">
        <f>I17+H17</f>
        <v>186.8</v>
      </c>
      <c r="K17" s="404" t="s">
        <v>13</v>
      </c>
      <c r="L17" s="406"/>
      <c r="M17" s="118">
        <v>53.36</v>
      </c>
      <c r="N17" s="395">
        <f>I17*M17</f>
        <v>0</v>
      </c>
      <c r="O17" s="407"/>
      <c r="P17" s="395">
        <f>J17*M17</f>
        <v>9967.648000000001</v>
      </c>
      <c r="Q17" s="396"/>
    </row>
    <row r="18" spans="1:17" ht="34.5" customHeight="1">
      <c r="A18" s="159" t="s">
        <v>99</v>
      </c>
      <c r="B18" s="298" t="s">
        <v>158</v>
      </c>
      <c r="C18" s="403"/>
      <c r="D18" s="299"/>
      <c r="E18" s="404">
        <v>515.91</v>
      </c>
      <c r="F18" s="405"/>
      <c r="G18" s="406"/>
      <c r="H18" s="136">
        <v>515.91</v>
      </c>
      <c r="I18" s="11">
        <v>0</v>
      </c>
      <c r="J18" s="136">
        <f>I18+H18</f>
        <v>515.91</v>
      </c>
      <c r="K18" s="404" t="s">
        <v>9</v>
      </c>
      <c r="L18" s="406"/>
      <c r="M18" s="118">
        <v>87.28</v>
      </c>
      <c r="N18" s="395">
        <f>I18*M18</f>
        <v>0</v>
      </c>
      <c r="O18" s="407"/>
      <c r="P18" s="395">
        <f>J18*M18</f>
        <v>45028.624799999998</v>
      </c>
      <c r="Q18" s="396"/>
    </row>
    <row r="19" spans="1:17" ht="23.25" customHeight="1">
      <c r="A19" s="159" t="s">
        <v>100</v>
      </c>
      <c r="B19" s="435" t="s">
        <v>152</v>
      </c>
      <c r="C19" s="436"/>
      <c r="D19" s="437"/>
      <c r="E19" s="404">
        <v>180.8</v>
      </c>
      <c r="F19" s="405"/>
      <c r="G19" s="406"/>
      <c r="H19" s="136">
        <v>180.8</v>
      </c>
      <c r="I19" s="11">
        <v>0</v>
      </c>
      <c r="J19" s="136">
        <f>I19+H19</f>
        <v>180.8</v>
      </c>
      <c r="K19" s="404" t="s">
        <v>13</v>
      </c>
      <c r="L19" s="406"/>
      <c r="M19" s="129">
        <v>42.72</v>
      </c>
      <c r="N19" s="395">
        <f>I19*M19</f>
        <v>0</v>
      </c>
      <c r="O19" s="407"/>
      <c r="P19" s="395">
        <f>J19*M19</f>
        <v>7723.7759999999998</v>
      </c>
      <c r="Q19" s="396"/>
    </row>
    <row r="20" spans="1:17">
      <c r="A20" s="158"/>
      <c r="B20" s="439" t="s">
        <v>154</v>
      </c>
      <c r="C20" s="439"/>
      <c r="D20" s="439"/>
      <c r="E20" s="439"/>
      <c r="F20" s="439"/>
      <c r="G20" s="439"/>
      <c r="H20" s="439"/>
      <c r="I20" s="439"/>
      <c r="J20" s="439"/>
      <c r="K20" s="439"/>
      <c r="L20" s="439"/>
      <c r="M20" s="439"/>
      <c r="N20" s="439"/>
      <c r="O20" s="439"/>
      <c r="P20" s="410"/>
      <c r="Q20" s="411"/>
    </row>
    <row r="21" spans="1:17">
      <c r="A21" s="160">
        <v>3</v>
      </c>
      <c r="B21" s="452" t="s">
        <v>93</v>
      </c>
      <c r="C21" s="452"/>
      <c r="D21" s="452"/>
      <c r="E21" s="120"/>
      <c r="F21" s="120"/>
      <c r="G21" s="120"/>
      <c r="H21" s="121"/>
      <c r="I21" s="122"/>
      <c r="J21" s="121"/>
      <c r="K21" s="120"/>
      <c r="L21" s="120"/>
      <c r="M21" s="123"/>
      <c r="N21" s="124"/>
      <c r="O21" s="124"/>
      <c r="P21" s="441">
        <f>SUM(P22:Q25)</f>
        <v>40668.480000000003</v>
      </c>
      <c r="Q21" s="442"/>
    </row>
    <row r="22" spans="1:17">
      <c r="A22" s="159" t="s">
        <v>61</v>
      </c>
      <c r="B22" s="425" t="s">
        <v>83</v>
      </c>
      <c r="C22" s="426"/>
      <c r="D22" s="427"/>
      <c r="E22" s="404">
        <v>360</v>
      </c>
      <c r="F22" s="405"/>
      <c r="G22" s="406"/>
      <c r="H22" s="136">
        <v>360</v>
      </c>
      <c r="I22" s="11">
        <v>0</v>
      </c>
      <c r="J22" s="136">
        <f>I22+H22</f>
        <v>360</v>
      </c>
      <c r="K22" s="404" t="s">
        <v>9</v>
      </c>
      <c r="L22" s="406"/>
      <c r="M22" s="14">
        <v>1.5</v>
      </c>
      <c r="N22" s="395">
        <f>I22*M22</f>
        <v>0</v>
      </c>
      <c r="O22" s="407"/>
      <c r="P22" s="395">
        <f>J22*M22</f>
        <v>540</v>
      </c>
      <c r="Q22" s="396"/>
    </row>
    <row r="23" spans="1:17" ht="36" customHeight="1">
      <c r="A23" s="159" t="s">
        <v>72</v>
      </c>
      <c r="B23" s="428" t="s">
        <v>150</v>
      </c>
      <c r="C23" s="429"/>
      <c r="D23" s="430"/>
      <c r="E23" s="404">
        <v>126</v>
      </c>
      <c r="F23" s="405"/>
      <c r="G23" s="406"/>
      <c r="H23" s="136">
        <v>126</v>
      </c>
      <c r="I23" s="11">
        <v>0</v>
      </c>
      <c r="J23" s="136">
        <f>I23+H23</f>
        <v>126</v>
      </c>
      <c r="K23" s="404" t="s">
        <v>13</v>
      </c>
      <c r="L23" s="406"/>
      <c r="M23" s="118">
        <v>53.36</v>
      </c>
      <c r="N23" s="395">
        <f>I23*M23</f>
        <v>0</v>
      </c>
      <c r="O23" s="407"/>
      <c r="P23" s="395">
        <f>J23*M23</f>
        <v>6723.36</v>
      </c>
      <c r="Q23" s="396"/>
    </row>
    <row r="24" spans="1:17" ht="33" customHeight="1">
      <c r="A24" s="159" t="s">
        <v>78</v>
      </c>
      <c r="B24" s="298" t="s">
        <v>158</v>
      </c>
      <c r="C24" s="403"/>
      <c r="D24" s="299"/>
      <c r="E24" s="404">
        <v>324</v>
      </c>
      <c r="F24" s="405"/>
      <c r="G24" s="406"/>
      <c r="H24" s="136">
        <v>324</v>
      </c>
      <c r="I24" s="11">
        <v>0</v>
      </c>
      <c r="J24" s="136">
        <f>I24+H24</f>
        <v>324</v>
      </c>
      <c r="K24" s="404" t="s">
        <v>9</v>
      </c>
      <c r="L24" s="406"/>
      <c r="M24" s="118">
        <v>87.28</v>
      </c>
      <c r="N24" s="395">
        <f>I24*M24</f>
        <v>0</v>
      </c>
      <c r="O24" s="407"/>
      <c r="P24" s="395">
        <f>J24*M24</f>
        <v>28278.720000000001</v>
      </c>
      <c r="Q24" s="396"/>
    </row>
    <row r="25" spans="1:17" ht="21.75" customHeight="1">
      <c r="A25" s="159" t="s">
        <v>85</v>
      </c>
      <c r="B25" s="435" t="s">
        <v>152</v>
      </c>
      <c r="C25" s="436"/>
      <c r="D25" s="437"/>
      <c r="E25" s="404">
        <v>120</v>
      </c>
      <c r="F25" s="405"/>
      <c r="G25" s="406"/>
      <c r="H25" s="136">
        <v>120</v>
      </c>
      <c r="I25" s="11">
        <v>0</v>
      </c>
      <c r="J25" s="136">
        <f>I25+H25</f>
        <v>120</v>
      </c>
      <c r="K25" s="404" t="s">
        <v>13</v>
      </c>
      <c r="L25" s="406"/>
      <c r="M25" s="128">
        <v>42.72</v>
      </c>
      <c r="N25" s="395">
        <f>I25*M25</f>
        <v>0</v>
      </c>
      <c r="O25" s="407"/>
      <c r="P25" s="395">
        <f>J25*M25</f>
        <v>5126.3999999999996</v>
      </c>
      <c r="Q25" s="396"/>
    </row>
    <row r="26" spans="1:17">
      <c r="A26" s="540" t="s">
        <v>147</v>
      </c>
      <c r="B26" s="439"/>
      <c r="C26" s="439"/>
      <c r="D26" s="439"/>
      <c r="E26" s="439"/>
      <c r="F26" s="439"/>
      <c r="G26" s="439"/>
      <c r="H26" s="439"/>
      <c r="I26" s="439"/>
      <c r="J26" s="439"/>
      <c r="K26" s="439"/>
      <c r="L26" s="439"/>
      <c r="M26" s="439"/>
      <c r="N26" s="439"/>
      <c r="O26" s="439"/>
      <c r="P26" s="410"/>
      <c r="Q26" s="411"/>
    </row>
    <row r="27" spans="1:17" ht="13.8">
      <c r="A27" s="161">
        <v>4</v>
      </c>
      <c r="B27" s="462" t="s">
        <v>148</v>
      </c>
      <c r="C27" s="452"/>
      <c r="D27" s="452"/>
      <c r="E27" s="452"/>
      <c r="F27" s="452"/>
      <c r="G27" s="452"/>
      <c r="H27" s="452"/>
      <c r="I27" s="452"/>
      <c r="J27" s="452"/>
      <c r="K27" s="452"/>
      <c r="L27" s="452"/>
      <c r="M27" s="452"/>
      <c r="N27" s="452"/>
      <c r="O27" s="452"/>
      <c r="P27" s="408" t="e">
        <f>SUM(P28,P29,P30,P31)</f>
        <v>#REF!</v>
      </c>
      <c r="Q27" s="409"/>
    </row>
    <row r="28" spans="1:17">
      <c r="A28" s="157" t="s">
        <v>75</v>
      </c>
      <c r="B28" s="425" t="s">
        <v>83</v>
      </c>
      <c r="C28" s="426"/>
      <c r="D28" s="427"/>
      <c r="E28" s="405">
        <v>1160</v>
      </c>
      <c r="F28" s="405"/>
      <c r="G28" s="406"/>
      <c r="H28" s="116">
        <v>1160</v>
      </c>
      <c r="I28" s="117">
        <v>0</v>
      </c>
      <c r="J28" s="116">
        <f>H28+I28</f>
        <v>1160</v>
      </c>
      <c r="K28" s="404" t="s">
        <v>9</v>
      </c>
      <c r="L28" s="406"/>
      <c r="M28" s="129" t="e">
        <v>#REF!</v>
      </c>
      <c r="N28" s="395" t="e">
        <f>I28*M28</f>
        <v>#REF!</v>
      </c>
      <c r="O28" s="407"/>
      <c r="P28" s="424" t="e">
        <f>J28*M28</f>
        <v>#REF!</v>
      </c>
      <c r="Q28" s="396"/>
    </row>
    <row r="29" spans="1:17" ht="35.25" customHeight="1">
      <c r="A29" s="157" t="s">
        <v>76</v>
      </c>
      <c r="B29" s="428" t="s">
        <v>150</v>
      </c>
      <c r="C29" s="429"/>
      <c r="D29" s="430"/>
      <c r="E29" s="405">
        <v>469</v>
      </c>
      <c r="F29" s="405"/>
      <c r="G29" s="406"/>
      <c r="H29" s="116">
        <v>469</v>
      </c>
      <c r="I29" s="117">
        <v>0</v>
      </c>
      <c r="J29" s="116">
        <f>H29+I29</f>
        <v>469</v>
      </c>
      <c r="K29" s="404" t="s">
        <v>13</v>
      </c>
      <c r="L29" s="406"/>
      <c r="M29" s="129" t="e">
        <v>#REF!</v>
      </c>
      <c r="N29" s="395" t="e">
        <f>I29*M29</f>
        <v>#REF!</v>
      </c>
      <c r="O29" s="407"/>
      <c r="P29" s="424" t="e">
        <f>J29*M29</f>
        <v>#REF!</v>
      </c>
      <c r="Q29" s="396"/>
    </row>
    <row r="30" spans="1:17" ht="34.5" customHeight="1">
      <c r="A30" s="157" t="s">
        <v>101</v>
      </c>
      <c r="B30" s="298" t="s">
        <v>158</v>
      </c>
      <c r="C30" s="403"/>
      <c r="D30" s="299"/>
      <c r="E30" s="405">
        <v>1020.8</v>
      </c>
      <c r="F30" s="405"/>
      <c r="G30" s="406"/>
      <c r="H30" s="116">
        <v>1020.8</v>
      </c>
      <c r="I30" s="117">
        <v>0</v>
      </c>
      <c r="J30" s="116">
        <f>H30+I30</f>
        <v>1020.8</v>
      </c>
      <c r="K30" s="404" t="s">
        <v>9</v>
      </c>
      <c r="L30" s="406"/>
      <c r="M30" s="129" t="e">
        <v>#REF!</v>
      </c>
      <c r="N30" s="395" t="e">
        <f>I30*M30</f>
        <v>#REF!</v>
      </c>
      <c r="O30" s="407"/>
      <c r="P30" s="424" t="e">
        <f>J30*M30</f>
        <v>#REF!</v>
      </c>
      <c r="Q30" s="396"/>
    </row>
    <row r="31" spans="1:17" ht="22.5" customHeight="1">
      <c r="A31" s="162" t="s">
        <v>102</v>
      </c>
      <c r="B31" s="435" t="s">
        <v>152</v>
      </c>
      <c r="C31" s="436"/>
      <c r="D31" s="437"/>
      <c r="E31" s="536">
        <v>464</v>
      </c>
      <c r="F31" s="536"/>
      <c r="G31" s="537"/>
      <c r="H31" s="163">
        <v>464</v>
      </c>
      <c r="I31" s="164">
        <v>0</v>
      </c>
      <c r="J31" s="163">
        <f>H31+I31</f>
        <v>464</v>
      </c>
      <c r="K31" s="538" t="s">
        <v>13</v>
      </c>
      <c r="L31" s="537"/>
      <c r="M31" s="153" t="e">
        <v>#REF!</v>
      </c>
      <c r="N31" s="412" t="e">
        <f>I31*M31</f>
        <v>#REF!</v>
      </c>
      <c r="O31" s="431"/>
      <c r="P31" s="539" t="e">
        <f>J31*M31</f>
        <v>#REF!</v>
      </c>
      <c r="Q31" s="413"/>
    </row>
    <row r="32" spans="1:17">
      <c r="A32" s="532" t="s">
        <v>155</v>
      </c>
      <c r="B32" s="533"/>
      <c r="C32" s="533"/>
      <c r="D32" s="533"/>
      <c r="E32" s="533"/>
      <c r="F32" s="533"/>
      <c r="G32" s="533"/>
      <c r="H32" s="533"/>
      <c r="I32" s="533"/>
      <c r="J32" s="533"/>
      <c r="K32" s="533"/>
      <c r="L32" s="533"/>
      <c r="M32" s="533"/>
      <c r="N32" s="533"/>
      <c r="O32" s="533"/>
      <c r="P32" s="533"/>
      <c r="Q32" s="534"/>
    </row>
    <row r="33" spans="1:20" ht="12.75" customHeight="1">
      <c r="A33" s="165">
        <v>5</v>
      </c>
      <c r="B33" s="462" t="s">
        <v>82</v>
      </c>
      <c r="C33" s="452"/>
      <c r="D33" s="452"/>
      <c r="E33" s="452"/>
      <c r="F33" s="452"/>
      <c r="G33" s="452"/>
      <c r="H33" s="452"/>
      <c r="I33" s="452"/>
      <c r="J33" s="452"/>
      <c r="K33" s="452"/>
      <c r="L33" s="452"/>
      <c r="M33" s="452"/>
      <c r="N33" s="441">
        <f>SUM(N34:O38)+0.6</f>
        <v>24652.629999999997</v>
      </c>
      <c r="O33" s="541"/>
      <c r="P33" s="443">
        <f>P34+P35+P36+P37+P38</f>
        <v>65332.56</v>
      </c>
      <c r="Q33" s="444"/>
    </row>
    <row r="34" spans="1:20">
      <c r="A34" s="166" t="s">
        <v>79</v>
      </c>
      <c r="B34" s="414" t="s">
        <v>90</v>
      </c>
      <c r="C34" s="415"/>
      <c r="D34" s="415"/>
      <c r="E34" s="404">
        <v>282.56</v>
      </c>
      <c r="F34" s="405"/>
      <c r="G34" s="406"/>
      <c r="H34" s="136">
        <v>282.56</v>
      </c>
      <c r="I34" s="11">
        <v>0</v>
      </c>
      <c r="J34" s="136">
        <f>H34+I34</f>
        <v>282.56</v>
      </c>
      <c r="K34" s="404" t="s">
        <v>70</v>
      </c>
      <c r="L34" s="406"/>
      <c r="M34" s="140">
        <v>4.0999999999999996</v>
      </c>
      <c r="N34" s="395">
        <f>I34*M34</f>
        <v>0</v>
      </c>
      <c r="O34" s="407"/>
      <c r="P34" s="395">
        <v>1157.1500000000001</v>
      </c>
      <c r="Q34" s="396"/>
    </row>
    <row r="35" spans="1:20" ht="22.5" customHeight="1">
      <c r="A35" s="157" t="s">
        <v>80</v>
      </c>
      <c r="B35" s="428" t="s">
        <v>156</v>
      </c>
      <c r="C35" s="429"/>
      <c r="D35" s="430"/>
      <c r="E35" s="404">
        <v>310.5</v>
      </c>
      <c r="F35" s="405"/>
      <c r="G35" s="406"/>
      <c r="H35" s="136">
        <v>310.5</v>
      </c>
      <c r="I35" s="11">
        <v>0</v>
      </c>
      <c r="J35" s="136">
        <f>H35+I35</f>
        <v>310.5</v>
      </c>
      <c r="K35" s="404" t="s">
        <v>13</v>
      </c>
      <c r="L35" s="406"/>
      <c r="M35" s="14">
        <v>101.32</v>
      </c>
      <c r="N35" s="395">
        <f>I35*M35</f>
        <v>0</v>
      </c>
      <c r="O35" s="407"/>
      <c r="P35" s="395">
        <v>31458.38</v>
      </c>
      <c r="Q35" s="396"/>
    </row>
    <row r="36" spans="1:20" ht="25.5" customHeight="1">
      <c r="A36" s="157" t="s">
        <v>81</v>
      </c>
      <c r="B36" s="432" t="s">
        <v>157</v>
      </c>
      <c r="C36" s="433"/>
      <c r="D36" s="434"/>
      <c r="E36" s="404">
        <v>1</v>
      </c>
      <c r="F36" s="405"/>
      <c r="G36" s="406"/>
      <c r="H36" s="136">
        <v>0</v>
      </c>
      <c r="I36" s="11">
        <f>E36</f>
        <v>1</v>
      </c>
      <c r="J36" s="136">
        <f>H36+I36</f>
        <v>1</v>
      </c>
      <c r="K36" s="404" t="s">
        <v>14</v>
      </c>
      <c r="L36" s="406"/>
      <c r="M36" s="14">
        <v>2231.38</v>
      </c>
      <c r="N36" s="395">
        <f>I36*M36</f>
        <v>2231.38</v>
      </c>
      <c r="O36" s="407"/>
      <c r="P36" s="395">
        <f>J36*M36</f>
        <v>2231.38</v>
      </c>
      <c r="Q36" s="396"/>
    </row>
    <row r="37" spans="1:20" ht="21" customHeight="1">
      <c r="A37" s="157" t="s">
        <v>84</v>
      </c>
      <c r="B37" s="428" t="s">
        <v>92</v>
      </c>
      <c r="C37" s="429"/>
      <c r="D37" s="430"/>
      <c r="E37" s="404">
        <v>18</v>
      </c>
      <c r="F37" s="405"/>
      <c r="G37" s="406"/>
      <c r="H37" s="136">
        <v>0</v>
      </c>
      <c r="I37" s="11">
        <f>E37</f>
        <v>18</v>
      </c>
      <c r="J37" s="136">
        <f>H37+I37</f>
        <v>18</v>
      </c>
      <c r="K37" s="404" t="s">
        <v>14</v>
      </c>
      <c r="L37" s="406"/>
      <c r="M37" s="14">
        <v>1245.5899999999999</v>
      </c>
      <c r="N37" s="395">
        <f>I37*M37+0.03</f>
        <v>22420.649999999998</v>
      </c>
      <c r="O37" s="407"/>
      <c r="P37" s="395">
        <f>J37*M37+0.03</f>
        <v>22420.649999999998</v>
      </c>
      <c r="Q37" s="396"/>
    </row>
    <row r="38" spans="1:20">
      <c r="A38" s="167" t="s">
        <v>103</v>
      </c>
      <c r="B38" s="432" t="s">
        <v>91</v>
      </c>
      <c r="C38" s="433"/>
      <c r="D38" s="434"/>
      <c r="E38" s="404">
        <v>204.56</v>
      </c>
      <c r="F38" s="405"/>
      <c r="G38" s="406"/>
      <c r="H38" s="136">
        <v>204.56</v>
      </c>
      <c r="I38" s="11">
        <v>0</v>
      </c>
      <c r="J38" s="136">
        <f>H38+I38</f>
        <v>204.56</v>
      </c>
      <c r="K38" s="404" t="s">
        <v>70</v>
      </c>
      <c r="L38" s="406"/>
      <c r="M38" s="132">
        <v>39.43</v>
      </c>
      <c r="N38" s="395">
        <f>I38*M38</f>
        <v>0</v>
      </c>
      <c r="O38" s="407"/>
      <c r="P38" s="395">
        <v>8065</v>
      </c>
      <c r="Q38" s="396"/>
    </row>
    <row r="39" spans="1:20" ht="13.2" customHeight="1">
      <c r="A39" s="168">
        <v>6</v>
      </c>
      <c r="B39" s="462" t="s">
        <v>93</v>
      </c>
      <c r="C39" s="452"/>
      <c r="D39" s="452"/>
      <c r="E39" s="452"/>
      <c r="F39" s="452"/>
      <c r="G39" s="452"/>
      <c r="H39" s="452"/>
      <c r="I39" s="452"/>
      <c r="J39" s="452"/>
      <c r="K39" s="452"/>
      <c r="L39" s="452"/>
      <c r="M39" s="452"/>
      <c r="N39" s="441">
        <f>SUM(N40:O43)</f>
        <v>216290.78020000001</v>
      </c>
      <c r="O39" s="541"/>
      <c r="P39" s="443">
        <f>P40+P41+P42+P43</f>
        <v>216290.78020000001</v>
      </c>
      <c r="Q39" s="444"/>
    </row>
    <row r="40" spans="1:20">
      <c r="A40" s="157" t="s">
        <v>88</v>
      </c>
      <c r="B40" s="428" t="s">
        <v>83</v>
      </c>
      <c r="C40" s="429"/>
      <c r="D40" s="430"/>
      <c r="E40" s="404">
        <v>1871.09</v>
      </c>
      <c r="F40" s="405"/>
      <c r="G40" s="406"/>
      <c r="H40" s="136">
        <v>0</v>
      </c>
      <c r="I40" s="11">
        <f>E40</f>
        <v>1871.09</v>
      </c>
      <c r="J40" s="136">
        <f>I40+H40</f>
        <v>1871.09</v>
      </c>
      <c r="K40" s="404" t="s">
        <v>9</v>
      </c>
      <c r="L40" s="406"/>
      <c r="M40" s="129">
        <v>1.5</v>
      </c>
      <c r="N40" s="395">
        <f>I40*M40+3.01</f>
        <v>2809.645</v>
      </c>
      <c r="O40" s="407"/>
      <c r="P40" s="395">
        <f>J40*M40+3.01</f>
        <v>2809.645</v>
      </c>
      <c r="Q40" s="396"/>
    </row>
    <row r="41" spans="1:20" ht="36" customHeight="1">
      <c r="A41" s="166" t="s">
        <v>89</v>
      </c>
      <c r="B41" s="433" t="s">
        <v>150</v>
      </c>
      <c r="C41" s="433"/>
      <c r="D41" s="433"/>
      <c r="E41" s="404">
        <v>721.35</v>
      </c>
      <c r="F41" s="405"/>
      <c r="G41" s="406"/>
      <c r="H41" s="136">
        <v>0</v>
      </c>
      <c r="I41" s="11">
        <f>E41</f>
        <v>721.35</v>
      </c>
      <c r="J41" s="136">
        <f>I41+H41</f>
        <v>721.35</v>
      </c>
      <c r="K41" s="404" t="s">
        <v>13</v>
      </c>
      <c r="L41" s="406"/>
      <c r="M41" s="129">
        <v>53.36</v>
      </c>
      <c r="N41" s="395">
        <f>I41*M41+2.16</f>
        <v>38493.396000000008</v>
      </c>
      <c r="O41" s="407"/>
      <c r="P41" s="395">
        <f>J41*M41+2.16</f>
        <v>38493.396000000008</v>
      </c>
      <c r="Q41" s="396"/>
    </row>
    <row r="42" spans="1:20" ht="33" customHeight="1">
      <c r="A42" s="167" t="s">
        <v>104</v>
      </c>
      <c r="B42" s="298" t="s">
        <v>158</v>
      </c>
      <c r="C42" s="403"/>
      <c r="D42" s="299"/>
      <c r="E42" s="404">
        <v>1658.24</v>
      </c>
      <c r="F42" s="405"/>
      <c r="G42" s="406"/>
      <c r="H42" s="136">
        <v>0</v>
      </c>
      <c r="I42" s="11">
        <f>E42</f>
        <v>1658.24</v>
      </c>
      <c r="J42" s="136">
        <f>I42+H42</f>
        <v>1658.24</v>
      </c>
      <c r="K42" s="404" t="s">
        <v>9</v>
      </c>
      <c r="L42" s="406"/>
      <c r="M42" s="129">
        <v>87.28</v>
      </c>
      <c r="N42" s="395">
        <f>I42*M42-0.78</f>
        <v>144730.40720000002</v>
      </c>
      <c r="O42" s="407"/>
      <c r="P42" s="395">
        <f>J42*M42-0.78</f>
        <v>144730.40720000002</v>
      </c>
      <c r="Q42" s="396"/>
    </row>
    <row r="43" spans="1:20" ht="27" customHeight="1">
      <c r="A43" s="162" t="s">
        <v>105</v>
      </c>
      <c r="B43" s="435" t="s">
        <v>152</v>
      </c>
      <c r="C43" s="436"/>
      <c r="D43" s="437"/>
      <c r="E43" s="404">
        <v>708.35</v>
      </c>
      <c r="F43" s="405"/>
      <c r="G43" s="406"/>
      <c r="H43" s="136">
        <v>0</v>
      </c>
      <c r="I43" s="11">
        <f>E43</f>
        <v>708.35</v>
      </c>
      <c r="J43" s="136">
        <f>I43+H43</f>
        <v>708.35</v>
      </c>
      <c r="K43" s="419" t="s">
        <v>13</v>
      </c>
      <c r="L43" s="418"/>
      <c r="M43" s="141">
        <v>42.72</v>
      </c>
      <c r="N43" s="412">
        <f>I43*M43-3.38</f>
        <v>30257.331999999999</v>
      </c>
      <c r="O43" s="431"/>
      <c r="P43" s="412">
        <f>J43*M43-3.38</f>
        <v>30257.331999999999</v>
      </c>
      <c r="Q43" s="413"/>
      <c r="T43" s="18">
        <f>P44-L8</f>
        <v>2.0000000949949026E-4</v>
      </c>
    </row>
    <row r="44" spans="1:20">
      <c r="A44" s="527" t="s">
        <v>130</v>
      </c>
      <c r="B44" s="502"/>
      <c r="C44" s="502"/>
      <c r="D44" s="502"/>
      <c r="E44" s="502"/>
      <c r="F44" s="502"/>
      <c r="G44" s="502"/>
      <c r="H44" s="502"/>
      <c r="I44" s="503"/>
      <c r="J44" s="507" t="s">
        <v>131</v>
      </c>
      <c r="K44" s="507"/>
      <c r="L44" s="507"/>
      <c r="M44" s="508"/>
      <c r="N44" s="511" t="s">
        <v>132</v>
      </c>
      <c r="O44" s="512"/>
      <c r="P44" s="513">
        <f>N33+N39</f>
        <v>240943.41020000001</v>
      </c>
      <c r="Q44" s="514"/>
    </row>
    <row r="45" spans="1:20">
      <c r="A45" s="528"/>
      <c r="B45" s="505"/>
      <c r="C45" s="505"/>
      <c r="D45" s="505"/>
      <c r="E45" s="505"/>
      <c r="F45" s="505"/>
      <c r="G45" s="505"/>
      <c r="H45" s="505"/>
      <c r="I45" s="506"/>
      <c r="J45" s="509"/>
      <c r="K45" s="509"/>
      <c r="L45" s="509"/>
      <c r="M45" s="510"/>
      <c r="N45" s="445" t="s">
        <v>133</v>
      </c>
      <c r="O45" s="446"/>
      <c r="P45" s="446"/>
      <c r="Q45" s="447"/>
    </row>
    <row r="46" spans="1:20">
      <c r="A46" s="529" t="s">
        <v>134</v>
      </c>
      <c r="B46" s="464"/>
      <c r="C46" s="465"/>
      <c r="D46" s="472" t="s">
        <v>135</v>
      </c>
      <c r="E46" s="473"/>
      <c r="F46" s="473"/>
      <c r="G46" s="474"/>
      <c r="H46" s="475" t="s">
        <v>136</v>
      </c>
      <c r="I46" s="476"/>
      <c r="J46" s="464" t="s">
        <v>137</v>
      </c>
      <c r="K46" s="464"/>
      <c r="L46" s="464"/>
      <c r="M46" s="465"/>
      <c r="N46" s="481" t="s">
        <v>138</v>
      </c>
      <c r="O46" s="482"/>
      <c r="P46" s="482"/>
      <c r="Q46" s="483"/>
    </row>
    <row r="47" spans="1:20">
      <c r="A47" s="530"/>
      <c r="B47" s="467"/>
      <c r="C47" s="468"/>
      <c r="D47" s="367" t="s">
        <v>137</v>
      </c>
      <c r="E47" s="368"/>
      <c r="F47" s="368"/>
      <c r="G47" s="369"/>
      <c r="H47" s="477"/>
      <c r="I47" s="478"/>
      <c r="J47" s="467"/>
      <c r="K47" s="467"/>
      <c r="L47" s="467"/>
      <c r="M47" s="468"/>
      <c r="N47" s="484"/>
      <c r="O47" s="485"/>
      <c r="P47" s="485"/>
      <c r="Q47" s="486"/>
    </row>
    <row r="48" spans="1:20">
      <c r="A48" s="530"/>
      <c r="B48" s="467"/>
      <c r="C48" s="468"/>
      <c r="D48" s="487"/>
      <c r="E48" s="488"/>
      <c r="F48" s="488"/>
      <c r="G48" s="126"/>
      <c r="H48" s="477"/>
      <c r="I48" s="478"/>
      <c r="J48" s="467"/>
      <c r="K48" s="467"/>
      <c r="L48" s="467"/>
      <c r="M48" s="468"/>
      <c r="N48" s="491">
        <f>P44</f>
        <v>240943.41020000001</v>
      </c>
      <c r="O48" s="492"/>
      <c r="P48" s="492"/>
      <c r="Q48" s="493"/>
    </row>
    <row r="49" spans="1:17">
      <c r="A49" s="530"/>
      <c r="B49" s="467"/>
      <c r="C49" s="468"/>
      <c r="D49" s="487"/>
      <c r="E49" s="488"/>
      <c r="F49" s="488"/>
      <c r="G49" s="126"/>
      <c r="H49" s="477"/>
      <c r="I49" s="478"/>
      <c r="J49" s="467"/>
      <c r="K49" s="467"/>
      <c r="L49" s="467"/>
      <c r="M49" s="468"/>
      <c r="N49" s="494"/>
      <c r="O49" s="495"/>
      <c r="P49" s="495"/>
      <c r="Q49" s="496"/>
    </row>
    <row r="50" spans="1:17">
      <c r="A50" s="530"/>
      <c r="B50" s="467"/>
      <c r="C50" s="468"/>
      <c r="D50" s="487"/>
      <c r="E50" s="488"/>
      <c r="F50" s="488"/>
      <c r="G50" s="126"/>
      <c r="H50" s="477"/>
      <c r="I50" s="478"/>
      <c r="J50" s="467"/>
      <c r="K50" s="467"/>
      <c r="L50" s="467"/>
      <c r="M50" s="468"/>
      <c r="N50" s="494"/>
      <c r="O50" s="495"/>
      <c r="P50" s="495"/>
      <c r="Q50" s="496"/>
    </row>
    <row r="51" spans="1:17">
      <c r="A51" s="531"/>
      <c r="B51" s="470"/>
      <c r="C51" s="471"/>
      <c r="D51" s="489"/>
      <c r="E51" s="490"/>
      <c r="F51" s="490"/>
      <c r="G51" s="127"/>
      <c r="H51" s="479"/>
      <c r="I51" s="480"/>
      <c r="J51" s="470"/>
      <c r="K51" s="470"/>
      <c r="L51" s="470"/>
      <c r="M51" s="471"/>
      <c r="N51" s="494"/>
      <c r="O51" s="495"/>
      <c r="P51" s="495"/>
      <c r="Q51" s="496"/>
    </row>
    <row r="52" spans="1:17" ht="22.5" customHeight="1">
      <c r="A52" s="459" t="s">
        <v>139</v>
      </c>
      <c r="B52" s="460"/>
      <c r="C52" s="461"/>
      <c r="D52" s="459" t="s">
        <v>140</v>
      </c>
      <c r="E52" s="460"/>
      <c r="F52" s="460"/>
      <c r="G52" s="461"/>
      <c r="H52" s="459" t="s">
        <v>141</v>
      </c>
      <c r="I52" s="461"/>
      <c r="J52" s="460" t="s">
        <v>142</v>
      </c>
      <c r="K52" s="460"/>
      <c r="L52" s="460"/>
      <c r="M52" s="461"/>
      <c r="N52" s="497"/>
      <c r="O52" s="498"/>
      <c r="P52" s="498"/>
      <c r="Q52" s="499"/>
    </row>
  </sheetData>
  <mergeCells count="191">
    <mergeCell ref="A1:Q1"/>
    <mergeCell ref="A3:D4"/>
    <mergeCell ref="E3:G3"/>
    <mergeCell ref="H3:I3"/>
    <mergeCell ref="J3:L3"/>
    <mergeCell ref="M3:O3"/>
    <mergeCell ref="P3:Q3"/>
    <mergeCell ref="E4:G4"/>
    <mergeCell ref="H4:I4"/>
    <mergeCell ref="J4:L4"/>
    <mergeCell ref="M4:O4"/>
    <mergeCell ref="P4:Q5"/>
    <mergeCell ref="A5:D6"/>
    <mergeCell ref="E5:G6"/>
    <mergeCell ref="H5:I6"/>
    <mergeCell ref="J5:O5"/>
    <mergeCell ref="J6:Q6"/>
    <mergeCell ref="A7:D8"/>
    <mergeCell ref="E7:G8"/>
    <mergeCell ref="H7:I8"/>
    <mergeCell ref="J7:K7"/>
    <mergeCell ref="L7:M7"/>
    <mergeCell ref="N7:O7"/>
    <mergeCell ref="P7:Q7"/>
    <mergeCell ref="J8:K8"/>
    <mergeCell ref="L8:M8"/>
    <mergeCell ref="N8:O8"/>
    <mergeCell ref="P8:Q8"/>
    <mergeCell ref="A9:A10"/>
    <mergeCell ref="B9:D10"/>
    <mergeCell ref="E9:G9"/>
    <mergeCell ref="H9:J9"/>
    <mergeCell ref="K9:L10"/>
    <mergeCell ref="M9:M10"/>
    <mergeCell ref="N9:Q9"/>
    <mergeCell ref="E10:G10"/>
    <mergeCell ref="N10:O10"/>
    <mergeCell ref="P10:Q10"/>
    <mergeCell ref="B11:O11"/>
    <mergeCell ref="P11:Q11"/>
    <mergeCell ref="B12:D12"/>
    <mergeCell ref="E12:G12"/>
    <mergeCell ref="K12:L12"/>
    <mergeCell ref="N12:O12"/>
    <mergeCell ref="P12:Q12"/>
    <mergeCell ref="B13:D13"/>
    <mergeCell ref="E13:G13"/>
    <mergeCell ref="K13:L13"/>
    <mergeCell ref="N13:O13"/>
    <mergeCell ref="P13:Q13"/>
    <mergeCell ref="A14:Q14"/>
    <mergeCell ref="B15:O15"/>
    <mergeCell ref="P15:Q15"/>
    <mergeCell ref="B16:D16"/>
    <mergeCell ref="E16:G16"/>
    <mergeCell ref="K16:L16"/>
    <mergeCell ref="N16:O16"/>
    <mergeCell ref="P16:Q16"/>
    <mergeCell ref="B17:D17"/>
    <mergeCell ref="E17:G17"/>
    <mergeCell ref="K17:L17"/>
    <mergeCell ref="N17:O17"/>
    <mergeCell ref="P17:Q17"/>
    <mergeCell ref="B18:D18"/>
    <mergeCell ref="E18:G18"/>
    <mergeCell ref="K18:L18"/>
    <mergeCell ref="N18:O18"/>
    <mergeCell ref="P18:Q18"/>
    <mergeCell ref="B19:D19"/>
    <mergeCell ref="E19:G19"/>
    <mergeCell ref="K19:L19"/>
    <mergeCell ref="N19:O19"/>
    <mergeCell ref="P19:Q19"/>
    <mergeCell ref="B20:O20"/>
    <mergeCell ref="P20:Q20"/>
    <mergeCell ref="B21:D21"/>
    <mergeCell ref="P21:Q21"/>
    <mergeCell ref="B22:D22"/>
    <mergeCell ref="E22:G22"/>
    <mergeCell ref="K22:L22"/>
    <mergeCell ref="N22:O22"/>
    <mergeCell ref="P22:Q22"/>
    <mergeCell ref="B23:D23"/>
    <mergeCell ref="E23:G23"/>
    <mergeCell ref="K23:L23"/>
    <mergeCell ref="N23:O23"/>
    <mergeCell ref="P23:Q23"/>
    <mergeCell ref="B24:D24"/>
    <mergeCell ref="E24:G24"/>
    <mergeCell ref="K24:L24"/>
    <mergeCell ref="N24:O24"/>
    <mergeCell ref="P24:Q24"/>
    <mergeCell ref="B25:D25"/>
    <mergeCell ref="E25:G25"/>
    <mergeCell ref="K25:L25"/>
    <mergeCell ref="N25:O25"/>
    <mergeCell ref="P25:Q25"/>
    <mergeCell ref="A26:O26"/>
    <mergeCell ref="P26:Q26"/>
    <mergeCell ref="B27:O27"/>
    <mergeCell ref="P27:Q27"/>
    <mergeCell ref="B28:D28"/>
    <mergeCell ref="E28:G28"/>
    <mergeCell ref="K28:L28"/>
    <mergeCell ref="N28:O28"/>
    <mergeCell ref="P28:Q28"/>
    <mergeCell ref="B29:D29"/>
    <mergeCell ref="E29:G29"/>
    <mergeCell ref="K29:L29"/>
    <mergeCell ref="N29:O29"/>
    <mergeCell ref="P29:Q29"/>
    <mergeCell ref="B30:D30"/>
    <mergeCell ref="E30:G30"/>
    <mergeCell ref="K30:L30"/>
    <mergeCell ref="N30:O30"/>
    <mergeCell ref="P30:Q30"/>
    <mergeCell ref="B31:D31"/>
    <mergeCell ref="E31:G31"/>
    <mergeCell ref="K31:L31"/>
    <mergeCell ref="N31:O31"/>
    <mergeCell ref="P31:Q31"/>
    <mergeCell ref="A32:Q32"/>
    <mergeCell ref="P33:Q33"/>
    <mergeCell ref="B34:D34"/>
    <mergeCell ref="E34:G34"/>
    <mergeCell ref="K34:L34"/>
    <mergeCell ref="N34:O34"/>
    <mergeCell ref="P34:Q34"/>
    <mergeCell ref="B33:M33"/>
    <mergeCell ref="N33:O33"/>
    <mergeCell ref="B35:D35"/>
    <mergeCell ref="E35:G35"/>
    <mergeCell ref="K35:L35"/>
    <mergeCell ref="N35:O35"/>
    <mergeCell ref="P35:Q35"/>
    <mergeCell ref="B36:D36"/>
    <mergeCell ref="E36:G36"/>
    <mergeCell ref="K36:L36"/>
    <mergeCell ref="N36:O36"/>
    <mergeCell ref="P36:Q36"/>
    <mergeCell ref="B37:D37"/>
    <mergeCell ref="E37:G37"/>
    <mergeCell ref="K37:L37"/>
    <mergeCell ref="N37:O37"/>
    <mergeCell ref="P37:Q37"/>
    <mergeCell ref="B38:D38"/>
    <mergeCell ref="E38:G38"/>
    <mergeCell ref="K38:L38"/>
    <mergeCell ref="N38:O38"/>
    <mergeCell ref="P38:Q38"/>
    <mergeCell ref="P39:Q39"/>
    <mergeCell ref="B40:D40"/>
    <mergeCell ref="E40:G40"/>
    <mergeCell ref="K40:L40"/>
    <mergeCell ref="N40:O40"/>
    <mergeCell ref="P40:Q40"/>
    <mergeCell ref="B39:M39"/>
    <mergeCell ref="N39:O39"/>
    <mergeCell ref="B41:D41"/>
    <mergeCell ref="E41:G41"/>
    <mergeCell ref="K41:L41"/>
    <mergeCell ref="N41:O41"/>
    <mergeCell ref="P41:Q41"/>
    <mergeCell ref="B42:D42"/>
    <mergeCell ref="E42:G42"/>
    <mergeCell ref="K42:L42"/>
    <mergeCell ref="N42:O42"/>
    <mergeCell ref="P42:Q42"/>
    <mergeCell ref="N43:O43"/>
    <mergeCell ref="P43:Q43"/>
    <mergeCell ref="A44:I45"/>
    <mergeCell ref="J44:M45"/>
    <mergeCell ref="N44:O44"/>
    <mergeCell ref="P44:Q44"/>
    <mergeCell ref="N45:Q45"/>
    <mergeCell ref="A52:C52"/>
    <mergeCell ref="B43:D43"/>
    <mergeCell ref="E43:G43"/>
    <mergeCell ref="K43:L43"/>
    <mergeCell ref="A46:C51"/>
    <mergeCell ref="D46:G46"/>
    <mergeCell ref="H46:I51"/>
    <mergeCell ref="J46:M51"/>
    <mergeCell ref="N46:Q47"/>
    <mergeCell ref="D47:G47"/>
    <mergeCell ref="D48:F51"/>
    <mergeCell ref="N48:Q48"/>
    <mergeCell ref="N49:Q52"/>
    <mergeCell ref="D52:G52"/>
    <mergeCell ref="H52:I52"/>
    <mergeCell ref="J52:M52"/>
  </mergeCells>
  <printOptions horizontalCentered="1"/>
  <pageMargins left="0.196850393700787" right="0" top="0.59055118110236204" bottom="0" header="0" footer="0"/>
  <pageSetup paperSize="9" scale="74" orientation="landscape" horizontalDpi="300" verticalDpi="300" r:id="rId1"/>
  <rowBreaks count="1" manualBreakCount="1">
    <brk id="31"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5628A0-B71C-46BD-A88A-FE5FEE13746D}">
  <sheetPr>
    <pageSetUpPr fitToPage="1"/>
  </sheetPr>
  <dimension ref="A1:O39"/>
  <sheetViews>
    <sheetView showGridLines="0" showZeros="0" view="pageBreakPreview" topLeftCell="A6" zoomScaleNormal="100" zoomScaleSheetLayoutView="100" workbookViewId="0">
      <selection activeCell="F12" sqref="F12"/>
    </sheetView>
  </sheetViews>
  <sheetFormatPr defaultRowHeight="13.2"/>
  <cols>
    <col min="1" max="1" width="5.44140625" bestFit="1" customWidth="1"/>
    <col min="2" max="2" width="18.33203125" customWidth="1"/>
    <col min="3" max="3" width="24.109375" customWidth="1"/>
    <col min="4" max="4" width="72.33203125" customWidth="1"/>
    <col min="5" max="5" width="10.109375" customWidth="1"/>
    <col min="6" max="6" width="15.6640625" customWidth="1"/>
    <col min="7" max="7" width="15.6640625" style="18" customWidth="1"/>
    <col min="8" max="8" width="13.109375" style="18" customWidth="1"/>
    <col min="9" max="9" width="15.6640625" style="18" customWidth="1"/>
    <col min="11" max="12" width="12" bestFit="1" customWidth="1"/>
    <col min="14" max="14" width="20.44140625" customWidth="1"/>
  </cols>
  <sheetData>
    <row r="1" spans="1:15" ht="3.75" customHeight="1" thickBot="1">
      <c r="A1" s="29"/>
      <c r="B1" s="29"/>
      <c r="C1" s="29"/>
      <c r="D1" s="29"/>
      <c r="E1" s="29"/>
      <c r="F1" s="29"/>
      <c r="G1" s="30"/>
      <c r="H1" s="30"/>
      <c r="I1" s="30"/>
    </row>
    <row r="2" spans="1:15" s="22" customFormat="1" ht="22.5" customHeight="1">
      <c r="A2" s="308" t="s">
        <v>31</v>
      </c>
      <c r="B2" s="309"/>
      <c r="C2" s="309"/>
      <c r="D2" s="309"/>
      <c r="E2" s="309"/>
      <c r="F2" s="309"/>
      <c r="G2" s="309"/>
      <c r="H2" s="309"/>
      <c r="I2" s="310"/>
      <c r="J2" s="23"/>
      <c r="K2" s="23"/>
      <c r="L2" s="23"/>
      <c r="M2" s="23"/>
      <c r="N2" s="23"/>
      <c r="O2" s="23"/>
    </row>
    <row r="3" spans="1:15" s="8" customFormat="1" ht="15" customHeight="1">
      <c r="A3" s="311" t="s">
        <v>73</v>
      </c>
      <c r="B3" s="312"/>
      <c r="C3" s="312"/>
      <c r="D3" s="312"/>
      <c r="E3" s="313"/>
      <c r="F3" s="314" t="s">
        <v>15</v>
      </c>
      <c r="G3" s="312"/>
      <c r="H3" s="312"/>
      <c r="I3" s="315"/>
    </row>
    <row r="4" spans="1:15" s="8" customFormat="1" ht="15" customHeight="1">
      <c r="A4" s="311" t="s">
        <v>74</v>
      </c>
      <c r="B4" s="312"/>
      <c r="C4" s="312"/>
      <c r="D4" s="312"/>
      <c r="E4" s="313"/>
      <c r="F4" s="314" t="s">
        <v>215</v>
      </c>
      <c r="G4" s="312"/>
      <c r="H4" s="312"/>
      <c r="I4" s="315"/>
    </row>
    <row r="5" spans="1:15" s="8" customFormat="1" ht="15" customHeight="1">
      <c r="A5" s="311" t="s">
        <v>183</v>
      </c>
      <c r="B5" s="312"/>
      <c r="C5" s="312"/>
      <c r="D5" s="312"/>
      <c r="E5" s="313"/>
      <c r="F5" s="24" t="s">
        <v>16</v>
      </c>
      <c r="G5" s="31">
        <v>2.5000000000000001E-2</v>
      </c>
      <c r="H5" s="316" t="s">
        <v>7</v>
      </c>
      <c r="I5" s="317"/>
    </row>
    <row r="6" spans="1:15" s="8" customFormat="1" ht="27.75" customHeight="1" thickBot="1">
      <c r="A6" s="327" t="s">
        <v>216</v>
      </c>
      <c r="B6" s="328"/>
      <c r="C6" s="328"/>
      <c r="D6" s="328"/>
      <c r="E6" s="328"/>
      <c r="F6" s="320" t="s">
        <v>17</v>
      </c>
      <c r="G6" s="322" t="s">
        <v>18</v>
      </c>
      <c r="H6" s="25" t="s">
        <v>19</v>
      </c>
      <c r="I6" s="26" t="s">
        <v>20</v>
      </c>
      <c r="L6" s="28">
        <v>0.2833</v>
      </c>
    </row>
    <row r="7" spans="1:15" ht="15" customHeight="1" thickBot="1">
      <c r="A7" s="546" t="s">
        <v>175</v>
      </c>
      <c r="B7" s="547"/>
      <c r="C7" s="547"/>
      <c r="D7" s="547"/>
      <c r="E7" s="547"/>
      <c r="F7" s="321"/>
      <c r="G7" s="323"/>
      <c r="H7" s="27" t="s">
        <v>21</v>
      </c>
      <c r="I7" s="188">
        <v>0.26900000000000002</v>
      </c>
      <c r="K7" s="542" t="s">
        <v>35</v>
      </c>
      <c r="L7" s="543"/>
    </row>
    <row r="8" spans="1:15" ht="7.5" customHeight="1" thickBot="1">
      <c r="A8" s="324"/>
      <c r="B8" s="325"/>
      <c r="C8" s="325"/>
      <c r="D8" s="325"/>
      <c r="E8" s="325"/>
      <c r="F8" s="325"/>
      <c r="G8" s="325"/>
      <c r="H8" s="325"/>
      <c r="I8" s="326"/>
    </row>
    <row r="9" spans="1:15" ht="27" thickBot="1">
      <c r="A9" s="5" t="s">
        <v>0</v>
      </c>
      <c r="B9" s="6" t="s">
        <v>4</v>
      </c>
      <c r="C9" s="318" t="s">
        <v>1</v>
      </c>
      <c r="D9" s="319"/>
      <c r="E9" s="6" t="s">
        <v>3</v>
      </c>
      <c r="F9" s="6" t="s">
        <v>2</v>
      </c>
      <c r="G9" s="13" t="s">
        <v>34</v>
      </c>
      <c r="H9" s="13" t="s">
        <v>33</v>
      </c>
      <c r="I9" s="19" t="s">
        <v>5</v>
      </c>
      <c r="K9" s="544" t="s">
        <v>34</v>
      </c>
      <c r="L9" s="544" t="s">
        <v>33</v>
      </c>
    </row>
    <row r="10" spans="1:15" s="8" customFormat="1" ht="18" customHeight="1" thickBot="1">
      <c r="A10" s="80">
        <v>1</v>
      </c>
      <c r="B10" s="44"/>
      <c r="C10" s="300" t="s">
        <v>11</v>
      </c>
      <c r="D10" s="301"/>
      <c r="E10" s="43"/>
      <c r="F10" s="43"/>
      <c r="G10" s="43"/>
      <c r="H10" s="43"/>
      <c r="I10" s="81">
        <f>SUM(I11:I12)</f>
        <v>5959.5349049999995</v>
      </c>
      <c r="K10" s="545"/>
      <c r="L10" s="545"/>
    </row>
    <row r="11" spans="1:15" s="8" customFormat="1" ht="41.25" customHeight="1">
      <c r="A11" s="77" t="s">
        <v>10</v>
      </c>
      <c r="B11" s="9" t="s">
        <v>69</v>
      </c>
      <c r="C11" s="298" t="s">
        <v>68</v>
      </c>
      <c r="D11" s="299"/>
      <c r="E11" s="78" t="str">
        <f>'[7]Modelo Planilha Orcamentaria'!E14</f>
        <v>M2</v>
      </c>
      <c r="F11" s="11">
        <v>4.5</v>
      </c>
      <c r="G11" s="14">
        <v>303.81</v>
      </c>
      <c r="H11" s="14">
        <f>G11*$I$7+G11</f>
        <v>385.53489000000002</v>
      </c>
      <c r="I11" s="20">
        <f>F11*H11</f>
        <v>1734.907005</v>
      </c>
      <c r="K11" s="42">
        <v>1075.83</v>
      </c>
      <c r="L11" s="40">
        <f>$L$6*K11+K11</f>
        <v>1380.6126389999999</v>
      </c>
      <c r="N11" s="40">
        <f>L11*F11</f>
        <v>6212.7568754999993</v>
      </c>
    </row>
    <row r="12" spans="1:15" s="8" customFormat="1" ht="27" customHeight="1">
      <c r="A12" s="77" t="s">
        <v>98</v>
      </c>
      <c r="B12" s="9" t="s">
        <v>97</v>
      </c>
      <c r="C12" s="298" t="s">
        <v>96</v>
      </c>
      <c r="D12" s="299"/>
      <c r="E12" s="10" t="s">
        <v>9</v>
      </c>
      <c r="F12" s="11">
        <v>6</v>
      </c>
      <c r="G12" s="14">
        <v>554.85</v>
      </c>
      <c r="H12" s="14">
        <f>G12*$I$7+G12</f>
        <v>704.10464999999999</v>
      </c>
      <c r="I12" s="20">
        <f>F12*H12</f>
        <v>4224.6278999999995</v>
      </c>
      <c r="K12" s="41"/>
      <c r="L12" s="40"/>
      <c r="N12" s="40"/>
    </row>
    <row r="13" spans="1:15" s="8" customFormat="1" ht="13.8">
      <c r="A13" s="80">
        <v>2</v>
      </c>
      <c r="B13" s="44"/>
      <c r="C13" s="300" t="s">
        <v>93</v>
      </c>
      <c r="D13" s="301"/>
      <c r="E13" s="43"/>
      <c r="F13" s="43"/>
      <c r="G13" s="43"/>
      <c r="H13" s="43"/>
      <c r="I13" s="81">
        <f>SUM(I14:I19)</f>
        <v>400399.26328843198</v>
      </c>
      <c r="K13" s="41"/>
      <c r="L13" s="40"/>
      <c r="N13" s="40"/>
    </row>
    <row r="14" spans="1:15" s="8" customFormat="1" ht="19.95" customHeight="1">
      <c r="A14" s="77" t="s">
        <v>60</v>
      </c>
      <c r="B14" s="9" t="s">
        <v>171</v>
      </c>
      <c r="C14" s="298" t="s">
        <v>172</v>
      </c>
      <c r="D14" s="299"/>
      <c r="E14" s="10" t="s">
        <v>9</v>
      </c>
      <c r="F14" s="11">
        <f>7*405</f>
        <v>2835</v>
      </c>
      <c r="G14" s="14">
        <v>4.49</v>
      </c>
      <c r="H14" s="14">
        <f t="shared" ref="H14:H19" si="0">G14*$I$7+G14</f>
        <v>5.6978100000000005</v>
      </c>
      <c r="I14" s="20">
        <f t="shared" ref="I14:I19" si="1">F14*H14</f>
        <v>16153.291350000001</v>
      </c>
      <c r="K14" s="41"/>
      <c r="L14" s="40"/>
      <c r="N14" s="40"/>
    </row>
    <row r="15" spans="1:15" s="8" customFormat="1" ht="26.4" customHeight="1">
      <c r="A15" s="77" t="s">
        <v>63</v>
      </c>
      <c r="B15" s="9" t="s">
        <v>176</v>
      </c>
      <c r="C15" s="298" t="s">
        <v>173</v>
      </c>
      <c r="D15" s="299"/>
      <c r="E15" s="10" t="s">
        <v>13</v>
      </c>
      <c r="F15" s="11">
        <f>405*2+14</f>
        <v>824</v>
      </c>
      <c r="G15" s="14">
        <v>75.47</v>
      </c>
      <c r="H15" s="14">
        <f t="shared" si="0"/>
        <v>95.771429999999995</v>
      </c>
      <c r="I15" s="20">
        <f t="shared" si="1"/>
        <v>78915.658320000002</v>
      </c>
      <c r="K15" s="41"/>
      <c r="L15" s="40"/>
      <c r="N15" s="40"/>
    </row>
    <row r="16" spans="1:15" s="8" customFormat="1" ht="28.2" customHeight="1">
      <c r="A16" s="77" t="s">
        <v>99</v>
      </c>
      <c r="B16" s="9" t="s">
        <v>66</v>
      </c>
      <c r="C16" s="298" t="s">
        <v>67</v>
      </c>
      <c r="D16" s="299"/>
      <c r="E16" s="10" t="s">
        <v>9</v>
      </c>
      <c r="F16" s="11">
        <f>6.4*405</f>
        <v>2592</v>
      </c>
      <c r="G16" s="14">
        <v>74.430000000000007</v>
      </c>
      <c r="H16" s="14">
        <f t="shared" si="0"/>
        <v>94.451670000000007</v>
      </c>
      <c r="I16" s="20">
        <f t="shared" si="1"/>
        <v>244818.72864000002</v>
      </c>
      <c r="K16" s="41"/>
      <c r="L16" s="40"/>
      <c r="N16" s="40"/>
    </row>
    <row r="17" spans="1:14" s="8" customFormat="1" ht="19.95" customHeight="1">
      <c r="A17" s="77" t="s">
        <v>100</v>
      </c>
      <c r="B17" s="9" t="s">
        <v>86</v>
      </c>
      <c r="C17" s="298" t="s">
        <v>87</v>
      </c>
      <c r="D17" s="299"/>
      <c r="E17" s="10" t="s">
        <v>13</v>
      </c>
      <c r="F17" s="11">
        <f>405*2</f>
        <v>810</v>
      </c>
      <c r="G17" s="14">
        <v>44.37</v>
      </c>
      <c r="H17" s="14">
        <f t="shared" si="0"/>
        <v>56.305529999999997</v>
      </c>
      <c r="I17" s="20">
        <f t="shared" si="1"/>
        <v>45607.479299999999</v>
      </c>
      <c r="K17" s="41"/>
      <c r="L17" s="40"/>
      <c r="N17" s="40"/>
    </row>
    <row r="18" spans="1:14" s="8" customFormat="1" ht="26.4" customHeight="1">
      <c r="A18" s="77" t="s">
        <v>217</v>
      </c>
      <c r="B18" s="9" t="s">
        <v>223</v>
      </c>
      <c r="C18" s="298" t="s">
        <v>224</v>
      </c>
      <c r="D18" s="299"/>
      <c r="E18" s="10" t="s">
        <v>70</v>
      </c>
      <c r="F18" s="11">
        <v>169.77600000000001</v>
      </c>
      <c r="G18" s="14">
        <v>8.92</v>
      </c>
      <c r="H18" s="14">
        <f t="shared" si="0"/>
        <v>11.31948</v>
      </c>
      <c r="I18" s="20">
        <f t="shared" si="1"/>
        <v>1921.7760364800001</v>
      </c>
      <c r="K18" s="41"/>
      <c r="L18" s="40"/>
      <c r="N18" s="40"/>
    </row>
    <row r="19" spans="1:14" s="8" customFormat="1" ht="19.95" customHeight="1" thickBot="1">
      <c r="A19" s="77" t="s">
        <v>218</v>
      </c>
      <c r="B19" s="9" t="s">
        <v>219</v>
      </c>
      <c r="C19" s="298" t="s">
        <v>220</v>
      </c>
      <c r="D19" s="299"/>
      <c r="E19" s="10" t="s">
        <v>221</v>
      </c>
      <c r="F19" s="11">
        <v>2818.2816000000003</v>
      </c>
      <c r="G19" s="14" t="s">
        <v>222</v>
      </c>
      <c r="H19" s="14">
        <f t="shared" si="0"/>
        <v>4.6064699999999998</v>
      </c>
      <c r="I19" s="20">
        <f t="shared" si="1"/>
        <v>12982.329641952001</v>
      </c>
      <c r="K19" s="41"/>
      <c r="L19" s="40"/>
      <c r="N19" s="40"/>
    </row>
    <row r="20" spans="1:14" s="83" customFormat="1" ht="18" customHeight="1" thickBot="1">
      <c r="A20" s="304" t="s">
        <v>71</v>
      </c>
      <c r="B20" s="305"/>
      <c r="C20" s="305"/>
      <c r="D20" s="305"/>
      <c r="E20" s="305"/>
      <c r="F20" s="305"/>
      <c r="G20" s="305"/>
      <c r="H20" s="305"/>
      <c r="I20" s="82">
        <f>I13+I10</f>
        <v>406358.79819343198</v>
      </c>
      <c r="N20" s="84"/>
    </row>
    <row r="21" spans="1:14" ht="21.75" customHeight="1">
      <c r="A21" s="306"/>
      <c r="B21" s="306"/>
      <c r="C21" s="306"/>
      <c r="D21" s="306"/>
      <c r="E21" s="306"/>
      <c r="F21" s="306"/>
      <c r="G21" s="306"/>
      <c r="H21" s="306"/>
      <c r="I21" s="306"/>
    </row>
    <row r="22" spans="1:14" ht="8.1" customHeight="1">
      <c r="A22" s="306"/>
      <c r="B22" s="306"/>
      <c r="C22" s="306"/>
      <c r="D22" s="306"/>
      <c r="E22" s="306"/>
      <c r="F22" s="306"/>
      <c r="G22" s="306"/>
      <c r="H22" s="306"/>
      <c r="I22" s="306"/>
    </row>
    <row r="23" spans="1:14" ht="11.25" customHeight="1">
      <c r="A23" s="2"/>
      <c r="B23" s="2"/>
      <c r="C23" s="2"/>
      <c r="D23" s="2"/>
      <c r="E23" s="2"/>
      <c r="F23" s="2"/>
      <c r="G23" s="15"/>
      <c r="H23" s="15"/>
      <c r="I23" s="15"/>
    </row>
    <row r="24" spans="1:14" ht="11.25" customHeight="1">
      <c r="A24" s="2"/>
      <c r="B24" s="303"/>
      <c r="C24" s="303"/>
      <c r="D24" s="4"/>
      <c r="E24" s="2"/>
      <c r="F24" s="307"/>
      <c r="G24" s="307"/>
      <c r="H24" s="16"/>
      <c r="I24" s="15"/>
    </row>
    <row r="25" spans="1:14">
      <c r="A25" s="3"/>
      <c r="B25" s="12" t="s">
        <v>8</v>
      </c>
      <c r="C25" s="12"/>
      <c r="D25" s="12"/>
      <c r="E25" s="3"/>
      <c r="F25" s="302" t="s">
        <v>6</v>
      </c>
      <c r="G25" s="302"/>
      <c r="H25" s="17"/>
      <c r="I25" s="21"/>
    </row>
    <row r="27" spans="1:14" ht="11.25" customHeight="1">
      <c r="A27" s="2"/>
      <c r="B27" s="303"/>
      <c r="C27" s="303"/>
      <c r="D27" s="4"/>
      <c r="E27" s="2"/>
      <c r="F27" s="303"/>
      <c r="G27" s="303"/>
      <c r="H27" s="16"/>
      <c r="I27" s="15"/>
    </row>
    <row r="28" spans="1:14">
      <c r="A28" s="3"/>
      <c r="B28" s="12" t="s">
        <v>12</v>
      </c>
      <c r="C28" s="12"/>
      <c r="D28" s="7"/>
      <c r="E28" s="3"/>
      <c r="F28" s="302"/>
      <c r="G28" s="302"/>
      <c r="H28" s="17"/>
      <c r="I28" s="21"/>
    </row>
    <row r="29" spans="1:14" ht="11.25" customHeight="1"/>
    <row r="30" spans="1:14" ht="9.75" customHeight="1"/>
    <row r="31" spans="1:14" ht="14.1" customHeight="1"/>
    <row r="39" spans="4:4">
      <c r="D39">
        <f>D37-D38</f>
        <v>0</v>
      </c>
    </row>
  </sheetData>
  <mergeCells count="35">
    <mergeCell ref="A2:I2"/>
    <mergeCell ref="A3:E3"/>
    <mergeCell ref="F3:I3"/>
    <mergeCell ref="A4:E4"/>
    <mergeCell ref="F4:I4"/>
    <mergeCell ref="A5:E5"/>
    <mergeCell ref="H5:I5"/>
    <mergeCell ref="A6:E6"/>
    <mergeCell ref="F6:F7"/>
    <mergeCell ref="G6:G7"/>
    <mergeCell ref="A7:E7"/>
    <mergeCell ref="K7:L7"/>
    <mergeCell ref="A8:I8"/>
    <mergeCell ref="C9:D9"/>
    <mergeCell ref="K9:K10"/>
    <mergeCell ref="L9:L10"/>
    <mergeCell ref="C10:D10"/>
    <mergeCell ref="C11:D11"/>
    <mergeCell ref="C12:D12"/>
    <mergeCell ref="C15:D15"/>
    <mergeCell ref="C16:D16"/>
    <mergeCell ref="C17:D17"/>
    <mergeCell ref="A20:H20"/>
    <mergeCell ref="A21:I21"/>
    <mergeCell ref="C13:D13"/>
    <mergeCell ref="C14:D14"/>
    <mergeCell ref="C18:D18"/>
    <mergeCell ref="C19:D19"/>
    <mergeCell ref="F28:G28"/>
    <mergeCell ref="A22:I22"/>
    <mergeCell ref="B24:C24"/>
    <mergeCell ref="F24:G24"/>
    <mergeCell ref="F25:G25"/>
    <mergeCell ref="B27:C27"/>
    <mergeCell ref="F27:G27"/>
  </mergeCells>
  <printOptions horizontalCentered="1"/>
  <pageMargins left="0.27559055118110198" right="0.196850393700787" top="0.59055118110236204" bottom="0" header="0" footer="0"/>
  <pageSetup paperSize="9" scale="56"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535E7-C289-4371-AC3B-65DB7E4C96AD}">
  <dimension ref="A1:G16"/>
  <sheetViews>
    <sheetView view="pageBreakPreview" topLeftCell="A5" zoomScale="85" zoomScaleNormal="100" zoomScaleSheetLayoutView="85" workbookViewId="0">
      <selection activeCell="F16" sqref="F16"/>
    </sheetView>
  </sheetViews>
  <sheetFormatPr defaultRowHeight="13.2"/>
  <cols>
    <col min="1" max="1" width="5.44140625" bestFit="1" customWidth="1"/>
    <col min="2" max="2" width="17.109375" customWidth="1"/>
    <col min="3" max="3" width="24.109375" customWidth="1"/>
    <col min="4" max="4" width="104.33203125" customWidth="1"/>
    <col min="5" max="5" width="10.109375" customWidth="1"/>
    <col min="6" max="6" width="15.6640625" customWidth="1"/>
    <col min="7" max="7" width="51.6640625" customWidth="1"/>
    <col min="9" max="9" width="65.33203125" customWidth="1"/>
  </cols>
  <sheetData>
    <row r="1" spans="1:7" ht="20.100000000000001" customHeight="1">
      <c r="A1" s="551" t="s">
        <v>64</v>
      </c>
      <c r="B1" s="552"/>
      <c r="C1" s="552"/>
      <c r="D1" s="552"/>
      <c r="E1" s="552"/>
      <c r="F1" s="552"/>
      <c r="G1" s="553"/>
    </row>
    <row r="2" spans="1:7" ht="18" customHeight="1">
      <c r="A2" s="554" t="s">
        <v>239</v>
      </c>
      <c r="B2" s="555"/>
      <c r="C2" s="555"/>
      <c r="D2" s="555"/>
      <c r="E2" s="555"/>
      <c r="F2" s="555"/>
      <c r="G2" s="556"/>
    </row>
    <row r="3" spans="1:7" ht="18" customHeight="1">
      <c r="A3" s="554" t="s">
        <v>74</v>
      </c>
      <c r="B3" s="555"/>
      <c r="C3" s="555"/>
      <c r="D3" s="555"/>
      <c r="E3" s="555"/>
      <c r="F3" s="555"/>
      <c r="G3" s="556"/>
    </row>
    <row r="4" spans="1:7" ht="18" customHeight="1" thickBot="1">
      <c r="A4" s="557" t="s">
        <v>240</v>
      </c>
      <c r="B4" s="558"/>
      <c r="C4" s="558"/>
      <c r="D4" s="558"/>
      <c r="E4" s="558"/>
      <c r="F4" s="558"/>
      <c r="G4" s="559"/>
    </row>
    <row r="5" spans="1:7" ht="13.8" thickBot="1">
      <c r="A5" s="5" t="s">
        <v>0</v>
      </c>
      <c r="B5" s="6" t="s">
        <v>4</v>
      </c>
      <c r="C5" s="106" t="s">
        <v>1</v>
      </c>
      <c r="D5" s="107"/>
      <c r="E5" s="6" t="s">
        <v>3</v>
      </c>
      <c r="F5" s="6" t="s">
        <v>2</v>
      </c>
      <c r="G5" s="19" t="s">
        <v>65</v>
      </c>
    </row>
    <row r="6" spans="1:7" ht="8.1" customHeight="1">
      <c r="A6" s="548"/>
      <c r="B6" s="549"/>
      <c r="C6" s="549"/>
      <c r="D6" s="549"/>
      <c r="E6" s="549"/>
      <c r="F6" s="549"/>
      <c r="G6" s="550"/>
    </row>
    <row r="7" spans="1:7" ht="15" customHeight="1">
      <c r="A7" s="80">
        <v>1</v>
      </c>
      <c r="B7" s="44"/>
      <c r="C7" s="300" t="s">
        <v>11</v>
      </c>
      <c r="D7" s="301"/>
      <c r="E7" s="43"/>
      <c r="F7" s="43"/>
      <c r="G7" s="108"/>
    </row>
    <row r="8" spans="1:7" ht="30" customHeight="1">
      <c r="A8" s="77" t="s">
        <v>10</v>
      </c>
      <c r="B8" s="79" t="s">
        <v>62</v>
      </c>
      <c r="C8" s="298" t="s">
        <v>68</v>
      </c>
      <c r="D8" s="299"/>
      <c r="E8" s="78" t="s">
        <v>9</v>
      </c>
      <c r="F8" s="11">
        <f>1.5*3</f>
        <v>4.5</v>
      </c>
      <c r="G8" s="109" t="s">
        <v>177</v>
      </c>
    </row>
    <row r="9" spans="1:7" ht="30" customHeight="1">
      <c r="A9" s="77" t="s">
        <v>98</v>
      </c>
      <c r="B9" s="79" t="s">
        <v>169</v>
      </c>
      <c r="C9" s="298" t="s">
        <v>96</v>
      </c>
      <c r="D9" s="299"/>
      <c r="E9" s="78" t="s">
        <v>9</v>
      </c>
      <c r="F9" s="169">
        <f>3*2</f>
        <v>6</v>
      </c>
      <c r="G9" s="170" t="s">
        <v>170</v>
      </c>
    </row>
    <row r="10" spans="1:7" ht="21" customHeight="1">
      <c r="A10" s="80">
        <v>2</v>
      </c>
      <c r="B10" s="44"/>
      <c r="C10" s="75" t="s">
        <v>93</v>
      </c>
      <c r="D10" s="76"/>
      <c r="E10" s="43"/>
      <c r="F10" s="43"/>
      <c r="G10" s="108"/>
    </row>
    <row r="11" spans="1:7" ht="25.2" customHeight="1">
      <c r="A11" s="77" t="s">
        <v>60</v>
      </c>
      <c r="B11" s="9" t="s">
        <v>171</v>
      </c>
      <c r="C11" s="298" t="s">
        <v>172</v>
      </c>
      <c r="D11" s="299"/>
      <c r="E11" s="10" t="s">
        <v>9</v>
      </c>
      <c r="F11" s="11">
        <f>7*405</f>
        <v>2835</v>
      </c>
      <c r="G11" s="109" t="s">
        <v>178</v>
      </c>
    </row>
    <row r="12" spans="1:7" ht="30" customHeight="1">
      <c r="A12" s="77" t="s">
        <v>63</v>
      </c>
      <c r="B12" s="9" t="s">
        <v>176</v>
      </c>
      <c r="C12" s="298" t="s">
        <v>173</v>
      </c>
      <c r="D12" s="299"/>
      <c r="E12" s="10" t="s">
        <v>13</v>
      </c>
      <c r="F12" s="11">
        <f>405*2+14</f>
        <v>824</v>
      </c>
      <c r="G12" s="109" t="s">
        <v>180</v>
      </c>
    </row>
    <row r="13" spans="1:7" ht="30" customHeight="1">
      <c r="A13" s="77" t="s">
        <v>99</v>
      </c>
      <c r="B13" s="9" t="s">
        <v>66</v>
      </c>
      <c r="C13" s="298" t="s">
        <v>67</v>
      </c>
      <c r="D13" s="299"/>
      <c r="E13" s="10" t="s">
        <v>9</v>
      </c>
      <c r="F13" s="11">
        <f>6.4*405</f>
        <v>2592</v>
      </c>
      <c r="G13" s="109" t="s">
        <v>179</v>
      </c>
    </row>
    <row r="14" spans="1:7" ht="25.2" customHeight="1">
      <c r="A14" s="77" t="s">
        <v>100</v>
      </c>
      <c r="B14" s="9" t="s">
        <v>86</v>
      </c>
      <c r="C14" s="298" t="s">
        <v>87</v>
      </c>
      <c r="D14" s="299"/>
      <c r="E14" s="10" t="s">
        <v>13</v>
      </c>
      <c r="F14" s="11">
        <f>405*2</f>
        <v>810</v>
      </c>
      <c r="G14" s="109" t="s">
        <v>181</v>
      </c>
    </row>
    <row r="15" spans="1:7" ht="34.799999999999997" customHeight="1">
      <c r="A15" s="77" t="s">
        <v>217</v>
      </c>
      <c r="B15" s="9" t="s">
        <v>225</v>
      </c>
      <c r="C15" s="298" t="s">
        <v>224</v>
      </c>
      <c r="D15" s="299"/>
      <c r="E15" s="10" t="s">
        <v>70</v>
      </c>
      <c r="F15" s="11">
        <f>(0.0568*F13)+(0.0087*F13)</f>
        <v>169.77600000000001</v>
      </c>
      <c r="G15" s="109" t="s">
        <v>227</v>
      </c>
    </row>
    <row r="16" spans="1:7" ht="25.2" customHeight="1">
      <c r="A16" s="77" t="s">
        <v>218</v>
      </c>
      <c r="B16" s="9" t="s">
        <v>226</v>
      </c>
      <c r="C16" s="298" t="s">
        <v>220</v>
      </c>
      <c r="D16" s="299"/>
      <c r="E16" s="10" t="s">
        <v>221</v>
      </c>
      <c r="F16" s="11">
        <f>F15*16.6</f>
        <v>2818.2816000000003</v>
      </c>
      <c r="G16" s="109" t="s">
        <v>228</v>
      </c>
    </row>
  </sheetData>
  <mergeCells count="14">
    <mergeCell ref="A6:G6"/>
    <mergeCell ref="C9:D9"/>
    <mergeCell ref="C12:D12"/>
    <mergeCell ref="C13:D13"/>
    <mergeCell ref="A1:G1"/>
    <mergeCell ref="A2:G2"/>
    <mergeCell ref="A3:G3"/>
    <mergeCell ref="A4:G4"/>
    <mergeCell ref="C7:D7"/>
    <mergeCell ref="C15:D15"/>
    <mergeCell ref="C16:D16"/>
    <mergeCell ref="C11:D11"/>
    <mergeCell ref="C14:D14"/>
    <mergeCell ref="C8:D8"/>
  </mergeCells>
  <printOptions horizontalCentered="1"/>
  <pageMargins left="0" right="0" top="0.59055118110236204" bottom="0" header="0" footer="0"/>
  <pageSetup paperSize="9" scale="61" orientation="landscape"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A8B801-2AAD-4D13-A827-7F46FD178BB3}">
  <sheetPr>
    <pageSetUpPr fitToPage="1"/>
  </sheetPr>
  <dimension ref="A1:H28"/>
  <sheetViews>
    <sheetView view="pageBreakPreview" zoomScaleNormal="100" zoomScaleSheetLayoutView="100" workbookViewId="0">
      <selection sqref="A1:G21"/>
    </sheetView>
  </sheetViews>
  <sheetFormatPr defaultRowHeight="13.2"/>
  <cols>
    <col min="1" max="1" width="12.109375" customWidth="1"/>
    <col min="2" max="2" width="60.33203125" customWidth="1"/>
    <col min="3" max="3" width="22.88671875" customWidth="1"/>
    <col min="4" max="4" width="21.6640625" customWidth="1"/>
    <col min="5" max="7" width="14.88671875" customWidth="1"/>
    <col min="8" max="8" width="18" customWidth="1"/>
  </cols>
  <sheetData>
    <row r="1" spans="1:8" ht="16.2" thickBot="1">
      <c r="A1" s="560" t="s">
        <v>32</v>
      </c>
      <c r="B1" s="561"/>
      <c r="C1" s="561"/>
      <c r="D1" s="561"/>
      <c r="E1" s="561"/>
      <c r="F1" s="561"/>
      <c r="G1" s="562"/>
    </row>
    <row r="2" spans="1:8" ht="8.1" customHeight="1" thickBot="1">
      <c r="A2" s="190"/>
      <c r="B2" s="33"/>
      <c r="C2" s="32"/>
      <c r="D2" s="32"/>
      <c r="E2" s="33"/>
      <c r="F2" s="33"/>
      <c r="G2" s="191"/>
    </row>
    <row r="3" spans="1:8" ht="15" customHeight="1" thickBot="1">
      <c r="A3" s="563" t="s">
        <v>22</v>
      </c>
      <c r="B3" s="564"/>
      <c r="C3" s="564"/>
      <c r="D3" s="564"/>
      <c r="E3" s="564"/>
      <c r="F3" s="564"/>
      <c r="G3" s="565"/>
    </row>
    <row r="4" spans="1:8" ht="25.5" customHeight="1">
      <c r="A4" s="575" t="s">
        <v>239</v>
      </c>
      <c r="B4" s="576"/>
      <c r="C4" s="102" t="s">
        <v>77</v>
      </c>
      <c r="D4" s="570">
        <v>406358.79819343198</v>
      </c>
      <c r="E4" s="570"/>
      <c r="F4" s="571" t="s">
        <v>229</v>
      </c>
      <c r="G4" s="572"/>
    </row>
    <row r="5" spans="1:8" ht="28.8" customHeight="1" thickBot="1">
      <c r="A5" s="577" t="s">
        <v>74</v>
      </c>
      <c r="B5" s="578"/>
      <c r="C5" s="568" t="s">
        <v>182</v>
      </c>
      <c r="D5" s="569"/>
      <c r="E5" s="569"/>
      <c r="F5" s="573" t="s">
        <v>174</v>
      </c>
      <c r="G5" s="574"/>
    </row>
    <row r="6" spans="1:8">
      <c r="A6" s="192" t="s">
        <v>0</v>
      </c>
      <c r="B6" s="103" t="s">
        <v>23</v>
      </c>
      <c r="C6" s="104" t="s">
        <v>24</v>
      </c>
      <c r="D6" s="104" t="s">
        <v>25</v>
      </c>
      <c r="E6" s="103" t="s">
        <v>26</v>
      </c>
      <c r="F6" s="103" t="s">
        <v>94</v>
      </c>
      <c r="G6" s="193" t="s">
        <v>95</v>
      </c>
    </row>
    <row r="7" spans="1:8">
      <c r="A7" s="579">
        <v>1</v>
      </c>
      <c r="B7" s="566" t="s">
        <v>11</v>
      </c>
      <c r="C7" s="34" t="s">
        <v>27</v>
      </c>
      <c r="D7" s="35">
        <f>D8/$D$12</f>
        <v>1.466569674754079E-2</v>
      </c>
      <c r="E7" s="36">
        <v>1</v>
      </c>
      <c r="F7" s="36"/>
      <c r="G7" s="194"/>
    </row>
    <row r="8" spans="1:8">
      <c r="A8" s="580"/>
      <c r="B8" s="567"/>
      <c r="C8" s="37" t="s">
        <v>28</v>
      </c>
      <c r="D8" s="38">
        <v>5959.5349049999995</v>
      </c>
      <c r="E8" s="38">
        <f>E7*D8</f>
        <v>5959.5349049999995</v>
      </c>
      <c r="F8" s="38"/>
      <c r="G8" s="195"/>
    </row>
    <row r="9" spans="1:8">
      <c r="A9" s="579">
        <v>3</v>
      </c>
      <c r="B9" s="566" t="s">
        <v>93</v>
      </c>
      <c r="C9" s="34" t="s">
        <v>27</v>
      </c>
      <c r="D9" s="35">
        <f>D10/$D$12</f>
        <v>0.98533430325245919</v>
      </c>
      <c r="E9" s="36">
        <v>0.32</v>
      </c>
      <c r="F9" s="36">
        <v>0.34</v>
      </c>
      <c r="G9" s="194">
        <v>0.34</v>
      </c>
    </row>
    <row r="10" spans="1:8">
      <c r="A10" s="580"/>
      <c r="B10" s="567"/>
      <c r="C10" s="37" t="s">
        <v>28</v>
      </c>
      <c r="D10" s="38">
        <v>400399.26328843198</v>
      </c>
      <c r="E10" s="38">
        <f>E9*D10</f>
        <v>128127.76425229824</v>
      </c>
      <c r="F10" s="38">
        <f>F9*D10</f>
        <v>136135.74951806688</v>
      </c>
      <c r="G10" s="195">
        <f>G9*D10</f>
        <v>136135.74951806688</v>
      </c>
    </row>
    <row r="11" spans="1:8">
      <c r="A11" s="581" t="s">
        <v>29</v>
      </c>
      <c r="B11" s="582"/>
      <c r="C11" s="39" t="s">
        <v>27</v>
      </c>
      <c r="D11" s="86">
        <f>(D8+D10)/D12</f>
        <v>1</v>
      </c>
      <c r="E11" s="86">
        <f>E12/D12</f>
        <v>0.32997267378832773</v>
      </c>
      <c r="F11" s="86">
        <f>F12/D12</f>
        <v>0.33501366310583613</v>
      </c>
      <c r="G11" s="196">
        <f>G12/D12</f>
        <v>0.33501366310583613</v>
      </c>
      <c r="H11" s="105"/>
    </row>
    <row r="12" spans="1:8">
      <c r="A12" s="583"/>
      <c r="B12" s="584"/>
      <c r="C12" s="172" t="s">
        <v>28</v>
      </c>
      <c r="D12" s="173">
        <f>D8+D10</f>
        <v>406358.79819343198</v>
      </c>
      <c r="E12" s="173">
        <f>E8+E10</f>
        <v>134087.29915729823</v>
      </c>
      <c r="F12" s="173">
        <f>F8+F10</f>
        <v>136135.74951806688</v>
      </c>
      <c r="G12" s="197">
        <f>G8+G10</f>
        <v>136135.74951806688</v>
      </c>
      <c r="H12" s="189"/>
    </row>
    <row r="13" spans="1:8">
      <c r="A13" s="198"/>
      <c r="B13" s="88"/>
      <c r="C13" s="171"/>
      <c r="D13" s="171"/>
      <c r="E13" s="88"/>
      <c r="F13" s="88"/>
      <c r="G13" s="199"/>
    </row>
    <row r="14" spans="1:8">
      <c r="A14" s="87"/>
      <c r="B14" s="89"/>
      <c r="C14" s="89"/>
      <c r="D14" s="89"/>
      <c r="E14" s="89"/>
      <c r="F14" s="89"/>
      <c r="G14" s="200"/>
    </row>
    <row r="15" spans="1:8">
      <c r="A15" s="87"/>
      <c r="B15" s="88"/>
      <c r="C15" s="89"/>
      <c r="D15" s="586" t="s">
        <v>30</v>
      </c>
      <c r="E15" s="586"/>
      <c r="F15" s="85"/>
      <c r="G15" s="201"/>
    </row>
    <row r="16" spans="1:8">
      <c r="A16" s="90"/>
      <c r="B16" s="587"/>
      <c r="C16" s="91"/>
      <c r="D16" s="585" t="s">
        <v>6</v>
      </c>
      <c r="E16" s="585"/>
      <c r="F16" s="85"/>
      <c r="G16" s="201"/>
    </row>
    <row r="17" spans="1:7">
      <c r="A17" s="92"/>
      <c r="B17" s="588"/>
      <c r="C17" s="91"/>
      <c r="D17" s="91"/>
      <c r="E17" s="85"/>
      <c r="F17" s="85"/>
      <c r="G17" s="201"/>
    </row>
    <row r="18" spans="1:7">
      <c r="A18" s="92"/>
      <c r="B18" s="93"/>
      <c r="C18" s="91"/>
      <c r="D18" s="91"/>
      <c r="E18" s="85"/>
      <c r="F18" s="85"/>
      <c r="G18" s="201"/>
    </row>
    <row r="19" spans="1:7">
      <c r="A19" s="92"/>
      <c r="B19" s="93"/>
      <c r="C19" s="91"/>
      <c r="D19" s="91"/>
      <c r="E19" s="85"/>
      <c r="F19" s="85"/>
      <c r="G19" s="201"/>
    </row>
    <row r="20" spans="1:7">
      <c r="A20" s="94"/>
      <c r="B20" s="95"/>
      <c r="C20" s="96"/>
      <c r="D20" s="96"/>
      <c r="E20" s="97"/>
      <c r="F20" s="97"/>
      <c r="G20" s="202"/>
    </row>
    <row r="21" spans="1:7" ht="13.8" thickBot="1">
      <c r="A21" s="98"/>
      <c r="B21" s="99"/>
      <c r="C21" s="100"/>
      <c r="D21" s="100"/>
      <c r="E21" s="101"/>
      <c r="F21" s="101"/>
      <c r="G21" s="203"/>
    </row>
    <row r="22" spans="1:7">
      <c r="A22" s="33"/>
      <c r="B22" s="33"/>
      <c r="C22" s="32"/>
      <c r="D22" s="32"/>
      <c r="E22" s="33"/>
      <c r="F22" s="33"/>
      <c r="G22" s="33"/>
    </row>
    <row r="23" spans="1:7">
      <c r="A23" s="33"/>
      <c r="B23" s="33"/>
      <c r="C23" s="32"/>
      <c r="D23" s="32"/>
      <c r="E23" s="33"/>
      <c r="F23" s="33"/>
      <c r="G23" s="33"/>
    </row>
    <row r="24" spans="1:7">
      <c r="A24" s="33"/>
      <c r="B24" s="33"/>
      <c r="C24" s="32"/>
      <c r="D24" s="32"/>
      <c r="E24" s="33"/>
      <c r="F24" s="33"/>
      <c r="G24" s="33"/>
    </row>
    <row r="25" spans="1:7">
      <c r="A25" s="33"/>
      <c r="B25" s="33"/>
      <c r="C25" s="32"/>
      <c r="D25" s="32"/>
      <c r="E25" s="33"/>
      <c r="F25" s="33"/>
      <c r="G25" s="33"/>
    </row>
    <row r="26" spans="1:7">
      <c r="A26" s="33"/>
      <c r="B26" s="33"/>
      <c r="C26" s="32"/>
      <c r="D26" s="32"/>
      <c r="E26" s="33"/>
      <c r="F26" s="33"/>
      <c r="G26" s="33"/>
    </row>
    <row r="27" spans="1:7">
      <c r="A27" s="33"/>
      <c r="B27" s="33"/>
      <c r="C27" s="32"/>
      <c r="D27" s="32"/>
      <c r="E27" s="33"/>
      <c r="F27" s="33"/>
      <c r="G27" s="33"/>
    </row>
    <row r="28" spans="1:7" ht="13.8" thickBot="1">
      <c r="A28" s="33"/>
      <c r="B28" s="33"/>
      <c r="C28" s="32"/>
      <c r="D28" s="32"/>
      <c r="E28" s="33"/>
      <c r="F28" s="33"/>
      <c r="G28" s="33"/>
    </row>
  </sheetData>
  <mergeCells count="16">
    <mergeCell ref="A11:B12"/>
    <mergeCell ref="D16:E16"/>
    <mergeCell ref="D15:E15"/>
    <mergeCell ref="B16:B17"/>
    <mergeCell ref="B7:B8"/>
    <mergeCell ref="A9:A10"/>
    <mergeCell ref="A1:G1"/>
    <mergeCell ref="A3:G3"/>
    <mergeCell ref="B9:B10"/>
    <mergeCell ref="C5:E5"/>
    <mergeCell ref="D4:E4"/>
    <mergeCell ref="F4:G4"/>
    <mergeCell ref="F5:G5"/>
    <mergeCell ref="A4:B4"/>
    <mergeCell ref="A5:B5"/>
    <mergeCell ref="A7:A8"/>
  </mergeCells>
  <printOptions horizontalCentered="1"/>
  <pageMargins left="0.39370078740157499" right="0.39370078740157499" top="0.59055118110236204" bottom="0" header="0" footer="0"/>
  <pageSetup paperSize="9" scale="78"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C90E3B-BE54-4498-BA17-8B27F68F32A8}">
  <dimension ref="A1:H30"/>
  <sheetViews>
    <sheetView view="pageBreakPreview" zoomScale="115" zoomScaleNormal="100" zoomScaleSheetLayoutView="115" workbookViewId="0">
      <selection activeCell="J22" sqref="J22"/>
    </sheetView>
  </sheetViews>
  <sheetFormatPr defaultRowHeight="13.2"/>
  <cols>
    <col min="1" max="1" width="3" customWidth="1"/>
    <col min="2" max="2" width="35.6640625" customWidth="1"/>
    <col min="4" max="4" width="16" customWidth="1"/>
    <col min="5" max="7" width="10.6640625" customWidth="1"/>
    <col min="8" max="8" width="3" customWidth="1"/>
  </cols>
  <sheetData>
    <row r="1" spans="1:8">
      <c r="A1" s="600" t="s">
        <v>184</v>
      </c>
      <c r="B1" s="601"/>
      <c r="C1" s="601"/>
      <c r="D1" s="601"/>
      <c r="E1" s="601"/>
      <c r="F1" s="601"/>
      <c r="G1" s="601"/>
      <c r="H1" s="602"/>
    </row>
    <row r="2" spans="1:8">
      <c r="A2" s="174"/>
      <c r="B2" s="603"/>
      <c r="C2" s="603"/>
      <c r="D2" s="603"/>
      <c r="E2" s="603"/>
      <c r="F2" s="603"/>
      <c r="G2" s="603"/>
      <c r="H2" s="175"/>
    </row>
    <row r="3" spans="1:8">
      <c r="A3" s="174"/>
      <c r="B3" s="604" t="s">
        <v>185</v>
      </c>
      <c r="C3" s="605"/>
      <c r="D3" s="605"/>
      <c r="E3" s="605"/>
      <c r="F3" s="605"/>
      <c r="G3" s="606"/>
      <c r="H3" s="175"/>
    </row>
    <row r="4" spans="1:8">
      <c r="A4" s="174"/>
      <c r="B4" s="607" t="s">
        <v>186</v>
      </c>
      <c r="C4" s="608"/>
      <c r="D4" s="608"/>
      <c r="E4" s="608"/>
      <c r="F4" s="608"/>
      <c r="G4" s="609"/>
      <c r="H4" s="175"/>
    </row>
    <row r="5" spans="1:8">
      <c r="A5" s="174"/>
      <c r="B5" s="599" t="s">
        <v>187</v>
      </c>
      <c r="C5" s="599"/>
      <c r="D5" s="599"/>
      <c r="E5" s="599"/>
      <c r="F5" s="599"/>
      <c r="G5" s="176"/>
      <c r="H5" s="175"/>
    </row>
    <row r="6" spans="1:8">
      <c r="A6" s="174"/>
      <c r="B6" s="599" t="s">
        <v>188</v>
      </c>
      <c r="C6" s="599"/>
      <c r="D6" s="599"/>
      <c r="E6" s="599"/>
      <c r="F6" s="599"/>
      <c r="G6" s="176" t="s">
        <v>189</v>
      </c>
      <c r="H6" s="175"/>
    </row>
    <row r="7" spans="1:8">
      <c r="A7" s="174"/>
      <c r="B7" s="599" t="s">
        <v>190</v>
      </c>
      <c r="C7" s="599"/>
      <c r="D7" s="599"/>
      <c r="E7" s="599"/>
      <c r="F7" s="599"/>
      <c r="G7" s="176"/>
      <c r="H7" s="175"/>
    </row>
    <row r="8" spans="1:8">
      <c r="A8" s="174"/>
      <c r="B8" s="599" t="s">
        <v>191</v>
      </c>
      <c r="C8" s="599"/>
      <c r="D8" s="599"/>
      <c r="E8" s="599"/>
      <c r="F8" s="599"/>
      <c r="G8" s="176"/>
      <c r="H8" s="175"/>
    </row>
    <row r="9" spans="1:8">
      <c r="A9" s="174"/>
      <c r="B9" s="599" t="s">
        <v>192</v>
      </c>
      <c r="C9" s="599"/>
      <c r="D9" s="599"/>
      <c r="E9" s="599"/>
      <c r="F9" s="599"/>
      <c r="G9" s="176"/>
      <c r="H9" s="175"/>
    </row>
    <row r="10" spans="1:8">
      <c r="A10" s="174"/>
      <c r="B10" s="599" t="s">
        <v>193</v>
      </c>
      <c r="C10" s="599"/>
      <c r="D10" s="599"/>
      <c r="E10" s="599"/>
      <c r="F10" s="599"/>
      <c r="G10" s="176"/>
      <c r="H10" s="175"/>
    </row>
    <row r="11" spans="1:8">
      <c r="A11" s="174"/>
      <c r="B11" s="181"/>
      <c r="C11" s="181"/>
      <c r="D11" s="181"/>
      <c r="E11" s="181"/>
      <c r="F11" s="181"/>
      <c r="G11" s="181"/>
      <c r="H11" s="175"/>
    </row>
    <row r="12" spans="1:8">
      <c r="A12" s="174"/>
      <c r="B12" s="593" t="s">
        <v>194</v>
      </c>
      <c r="C12" s="593"/>
      <c r="D12" s="593"/>
      <c r="E12" s="593" t="s">
        <v>195</v>
      </c>
      <c r="F12" s="593"/>
      <c r="G12" s="593"/>
      <c r="H12" s="175"/>
    </row>
    <row r="13" spans="1:8">
      <c r="A13" s="174"/>
      <c r="B13" s="593"/>
      <c r="C13" s="593"/>
      <c r="D13" s="593"/>
      <c r="E13" s="177" t="s">
        <v>196</v>
      </c>
      <c r="F13" s="177" t="s">
        <v>197</v>
      </c>
      <c r="G13" s="177" t="s">
        <v>198</v>
      </c>
      <c r="H13" s="175"/>
    </row>
    <row r="14" spans="1:8">
      <c r="A14" s="174"/>
      <c r="B14" s="590" t="s">
        <v>199</v>
      </c>
      <c r="C14" s="590"/>
      <c r="D14" s="178">
        <v>4.6699999999999998E-2</v>
      </c>
      <c r="E14" s="178">
        <v>3.7999999999999999E-2</v>
      </c>
      <c r="F14" s="178">
        <v>4.0099999999999997E-2</v>
      </c>
      <c r="G14" s="178">
        <v>4.6699999999999998E-2</v>
      </c>
      <c r="H14" s="175"/>
    </row>
    <row r="15" spans="1:8">
      <c r="A15" s="174"/>
      <c r="B15" s="590" t="s">
        <v>200</v>
      </c>
      <c r="C15" s="590"/>
      <c r="D15" s="178">
        <v>7.4000000000000003E-3</v>
      </c>
      <c r="E15" s="178">
        <v>3.2000000000000002E-3</v>
      </c>
      <c r="F15" s="178">
        <v>4.0000000000000001E-3</v>
      </c>
      <c r="G15" s="178">
        <v>7.4000000000000003E-3</v>
      </c>
      <c r="H15" s="175"/>
    </row>
    <row r="16" spans="1:8">
      <c r="A16" s="174"/>
      <c r="B16" s="590" t="s">
        <v>201</v>
      </c>
      <c r="C16" s="590"/>
      <c r="D16" s="178">
        <v>9.7000000000000003E-3</v>
      </c>
      <c r="E16" s="178">
        <v>5.0000000000000001E-3</v>
      </c>
      <c r="F16" s="178">
        <v>5.5999999999999999E-3</v>
      </c>
      <c r="G16" s="178">
        <v>9.7000000000000003E-3</v>
      </c>
      <c r="H16" s="175"/>
    </row>
    <row r="17" spans="1:8">
      <c r="A17" s="174"/>
      <c r="B17" s="590" t="s">
        <v>202</v>
      </c>
      <c r="C17" s="590"/>
      <c r="D17" s="178">
        <v>1.21E-2</v>
      </c>
      <c r="E17" s="178">
        <v>1.0200000000000001E-2</v>
      </c>
      <c r="F17" s="178">
        <v>1.11E-2</v>
      </c>
      <c r="G17" s="178">
        <v>1.21E-2</v>
      </c>
      <c r="H17" s="175"/>
    </row>
    <row r="18" spans="1:8">
      <c r="A18" s="174"/>
      <c r="B18" s="590" t="s">
        <v>203</v>
      </c>
      <c r="C18" s="590"/>
      <c r="D18" s="178">
        <v>8.6900000000000005E-2</v>
      </c>
      <c r="E18" s="178">
        <v>6.6400000000000001E-2</v>
      </c>
      <c r="F18" s="178">
        <v>7.2999999999999995E-2</v>
      </c>
      <c r="G18" s="178">
        <v>8.6900000000000005E-2</v>
      </c>
      <c r="H18" s="175"/>
    </row>
    <row r="19" spans="1:8">
      <c r="A19" s="174"/>
      <c r="B19" s="590" t="s">
        <v>204</v>
      </c>
      <c r="C19" s="590"/>
      <c r="D19" s="178">
        <v>6.4999999999999997E-3</v>
      </c>
      <c r="E19" s="178">
        <v>0</v>
      </c>
      <c r="F19" s="178" t="s">
        <v>205</v>
      </c>
      <c r="G19" s="178">
        <v>6.4999999999999997E-3</v>
      </c>
      <c r="H19" s="175"/>
    </row>
    <row r="20" spans="1:8">
      <c r="A20" s="174"/>
      <c r="B20" s="590" t="s">
        <v>206</v>
      </c>
      <c r="C20" s="590"/>
      <c r="D20" s="178">
        <v>2.63E-2</v>
      </c>
      <c r="E20" s="178">
        <v>0</v>
      </c>
      <c r="F20" s="178" t="s">
        <v>205</v>
      </c>
      <c r="G20" s="178">
        <v>0.03</v>
      </c>
      <c r="H20" s="175"/>
    </row>
    <row r="21" spans="1:8">
      <c r="A21" s="174"/>
      <c r="B21" s="590" t="s">
        <v>207</v>
      </c>
      <c r="C21" s="590"/>
      <c r="D21" s="178">
        <v>2.5000000000000001E-2</v>
      </c>
      <c r="E21" s="178">
        <v>0.02</v>
      </c>
      <c r="F21" s="178" t="s">
        <v>205</v>
      </c>
      <c r="G21" s="178">
        <v>0.05</v>
      </c>
      <c r="H21" s="175"/>
    </row>
    <row r="22" spans="1:8" ht="15.6">
      <c r="A22" s="174"/>
      <c r="B22" s="591" t="s">
        <v>208</v>
      </c>
      <c r="C22" s="592"/>
      <c r="D22" s="179">
        <v>0.24199999999999999</v>
      </c>
      <c r="E22" s="181"/>
      <c r="F22" s="181"/>
      <c r="G22" s="181"/>
      <c r="H22" s="175"/>
    </row>
    <row r="23" spans="1:8">
      <c r="A23" s="174"/>
      <c r="B23" s="181"/>
      <c r="C23" s="181"/>
      <c r="D23" s="181"/>
      <c r="E23" s="181"/>
      <c r="F23" s="181"/>
      <c r="G23" s="181"/>
      <c r="H23" s="175"/>
    </row>
    <row r="24" spans="1:8">
      <c r="A24" s="174"/>
      <c r="B24" s="593" t="s">
        <v>209</v>
      </c>
      <c r="C24" s="593"/>
      <c r="D24" s="593"/>
      <c r="E24" s="593"/>
      <c r="F24" s="593"/>
      <c r="G24" s="593"/>
      <c r="H24" s="175"/>
    </row>
    <row r="25" spans="1:8">
      <c r="A25" s="174"/>
      <c r="B25" s="180" t="s">
        <v>185</v>
      </c>
      <c r="C25" s="594" t="s">
        <v>188</v>
      </c>
      <c r="D25" s="595"/>
      <c r="E25" s="595"/>
      <c r="F25" s="595"/>
      <c r="G25" s="596"/>
      <c r="H25" s="175"/>
    </row>
    <row r="26" spans="1:8">
      <c r="A26" s="174"/>
      <c r="B26" s="180" t="s">
        <v>210</v>
      </c>
      <c r="C26" s="597">
        <v>0.19600000000000001</v>
      </c>
      <c r="D26" s="597"/>
      <c r="E26" s="597"/>
      <c r="F26" s="597"/>
      <c r="G26" s="597"/>
      <c r="H26" s="175"/>
    </row>
    <row r="27" spans="1:8">
      <c r="A27" s="174"/>
      <c r="B27" s="180" t="s">
        <v>211</v>
      </c>
      <c r="C27" s="597">
        <v>0.24229999999999999</v>
      </c>
      <c r="D27" s="597"/>
      <c r="E27" s="597"/>
      <c r="F27" s="597"/>
      <c r="G27" s="597"/>
      <c r="H27" s="175"/>
    </row>
    <row r="28" spans="1:8" ht="15.6">
      <c r="A28" s="174"/>
      <c r="B28" s="180" t="s">
        <v>212</v>
      </c>
      <c r="C28" s="598">
        <v>0.24199999999999999</v>
      </c>
      <c r="D28" s="598"/>
      <c r="E28" s="598"/>
      <c r="F28" s="598"/>
      <c r="G28" s="598"/>
      <c r="H28" s="175"/>
    </row>
    <row r="29" spans="1:8">
      <c r="A29" s="174"/>
      <c r="B29" s="180" t="s">
        <v>209</v>
      </c>
      <c r="C29" s="589" t="s">
        <v>213</v>
      </c>
      <c r="D29" s="589"/>
      <c r="E29" s="589"/>
      <c r="F29" s="589"/>
      <c r="G29" s="589"/>
      <c r="H29" s="175"/>
    </row>
    <row r="30" spans="1:8" ht="16.2" thickBot="1">
      <c r="A30" s="182"/>
      <c r="B30" s="183" t="s">
        <v>214</v>
      </c>
      <c r="C30" s="184"/>
      <c r="D30" s="185"/>
      <c r="E30" s="185">
        <v>0.26900000000000002</v>
      </c>
      <c r="F30" s="185"/>
      <c r="G30" s="186"/>
      <c r="H30" s="187"/>
    </row>
  </sheetData>
  <protectedRanges>
    <protectedRange sqref="D14:D21 G5:G10" name="Intervalo1_1"/>
  </protectedRanges>
  <mergeCells count="27">
    <mergeCell ref="A1:H1"/>
    <mergeCell ref="B2:G2"/>
    <mergeCell ref="B3:G3"/>
    <mergeCell ref="B4:G4"/>
    <mergeCell ref="B5:F5"/>
    <mergeCell ref="B6:F6"/>
    <mergeCell ref="B7:F7"/>
    <mergeCell ref="B8:F8"/>
    <mergeCell ref="B9:F9"/>
    <mergeCell ref="B10:F10"/>
    <mergeCell ref="B12:D13"/>
    <mergeCell ref="E12:G12"/>
    <mergeCell ref="B14:C14"/>
    <mergeCell ref="B15:C15"/>
    <mergeCell ref="B16:C16"/>
    <mergeCell ref="B17:C17"/>
    <mergeCell ref="B18:C18"/>
    <mergeCell ref="B19:C19"/>
    <mergeCell ref="C27:G27"/>
    <mergeCell ref="C28:G28"/>
    <mergeCell ref="C29:G29"/>
    <mergeCell ref="B20:C20"/>
    <mergeCell ref="B21:C21"/>
    <mergeCell ref="B22:C22"/>
    <mergeCell ref="B24:G24"/>
    <mergeCell ref="C25:G25"/>
    <mergeCell ref="C26:G26"/>
  </mergeCells>
  <conditionalFormatting sqref="B27">
    <cfRule type="cellIs" dxfId="31" priority="3" stopIfTrue="1" operator="equal">
      <formula>"LIMITE MÁXIMO BDI C/ DESONERAÇÃO"</formula>
    </cfRule>
  </conditionalFormatting>
  <conditionalFormatting sqref="C29:G29">
    <cfRule type="cellIs" dxfId="30" priority="1" stopIfTrue="1" operator="equal">
      <formula>"BDI ACEITO"</formula>
    </cfRule>
    <cfRule type="cellIs" dxfId="29" priority="2" stopIfTrue="1" operator="equal">
      <formula>"BDI FORA DOS LIMITES"</formula>
    </cfRule>
  </conditionalFormatting>
  <conditionalFormatting sqref="D14">
    <cfRule type="cellIs" dxfId="28" priority="4" stopIfTrue="1" operator="between">
      <formula>$E$14</formula>
      <formula>$G$14</formula>
    </cfRule>
    <cfRule type="cellIs" dxfId="27" priority="5" stopIfTrue="1" operator="notBetween">
      <formula>$E$14</formula>
      <formula>$G$14</formula>
    </cfRule>
  </conditionalFormatting>
  <conditionalFormatting sqref="D15">
    <cfRule type="cellIs" dxfId="26" priority="6" stopIfTrue="1" operator="between">
      <formula>$E$15</formula>
      <formula>$G$15</formula>
    </cfRule>
    <cfRule type="cellIs" dxfId="25" priority="7" stopIfTrue="1" operator="notBetween">
      <formula>$E$15</formula>
      <formula>$G$15</formula>
    </cfRule>
  </conditionalFormatting>
  <conditionalFormatting sqref="D16">
    <cfRule type="cellIs" dxfId="24" priority="8" stopIfTrue="1" operator="between">
      <formula>$E$16</formula>
      <formula>$G$16</formula>
    </cfRule>
    <cfRule type="cellIs" dxfId="23" priority="9" stopIfTrue="1" operator="notBetween">
      <formula>$E$16</formula>
      <formula>$G$16</formula>
    </cfRule>
  </conditionalFormatting>
  <conditionalFormatting sqref="D17">
    <cfRule type="cellIs" dxfId="22" priority="10" stopIfTrue="1" operator="between">
      <formula>$E$17</formula>
      <formula>$G$17</formula>
    </cfRule>
    <cfRule type="cellIs" dxfId="21" priority="11" stopIfTrue="1" operator="notBetween">
      <formula>$E$17</formula>
      <formula>$G$17</formula>
    </cfRule>
  </conditionalFormatting>
  <conditionalFormatting sqref="D18">
    <cfRule type="cellIs" dxfId="20" priority="12" stopIfTrue="1" operator="between">
      <formula>$E$18</formula>
      <formula>$G$18</formula>
    </cfRule>
    <cfRule type="cellIs" dxfId="19" priority="13" stopIfTrue="1" operator="notBetween">
      <formula>$E$18</formula>
      <formula>$G$18</formula>
    </cfRule>
  </conditionalFormatting>
  <conditionalFormatting sqref="D19">
    <cfRule type="cellIs" dxfId="18" priority="14" stopIfTrue="1" operator="between">
      <formula>$E$19</formula>
      <formula>$G$19</formula>
    </cfRule>
    <cfRule type="cellIs" dxfId="17" priority="15" stopIfTrue="1" operator="notBetween">
      <formula>$E$19</formula>
      <formula>$G$19</formula>
    </cfRule>
  </conditionalFormatting>
  <conditionalFormatting sqref="D20">
    <cfRule type="cellIs" dxfId="16" priority="16" stopIfTrue="1" operator="between">
      <formula>$E$20</formula>
      <formula>$G$20</formula>
    </cfRule>
    <cfRule type="cellIs" dxfId="15" priority="17" stopIfTrue="1" operator="notBetween">
      <formula>$E$20</formula>
      <formula>$G$20</formula>
    </cfRule>
  </conditionalFormatting>
  <conditionalFormatting sqref="D21">
    <cfRule type="cellIs" dxfId="14" priority="18" stopIfTrue="1" operator="between">
      <formula>$E$21</formula>
      <formula>$G$21</formula>
    </cfRule>
    <cfRule type="cellIs" dxfId="13" priority="19" stopIfTrue="1" operator="notBetween">
      <formula>$E$21</formula>
      <formula>$G$21</formula>
    </cfRule>
  </conditionalFormatting>
  <pageMargins left="0.511811024" right="0.511811024" top="0.78740157499999996" bottom="0.78740157499999996" header="0.31496062000000002" footer="0.31496062000000002"/>
  <pageSetup paperSize="9" scale="95"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8208D-C120-4CC9-A94A-C95C1B4B6D11}">
  <dimension ref="A1:R130"/>
  <sheetViews>
    <sheetView view="pageBreakPreview" topLeftCell="A9" zoomScaleNormal="100" zoomScaleSheetLayoutView="100" workbookViewId="0">
      <selection activeCell="D131" sqref="D131:D132"/>
    </sheetView>
  </sheetViews>
  <sheetFormatPr defaultRowHeight="13.2"/>
  <cols>
    <col min="1" max="10" width="12.77734375" customWidth="1"/>
    <col min="15" max="15" width="9.33203125" bestFit="1" customWidth="1"/>
    <col min="16" max="16" width="9.21875" bestFit="1" customWidth="1"/>
    <col min="17" max="17" width="9" bestFit="1" customWidth="1"/>
  </cols>
  <sheetData>
    <row r="1" spans="1:10" ht="15.6">
      <c r="A1" s="259"/>
      <c r="B1" s="259"/>
      <c r="C1" s="259"/>
      <c r="D1" s="259"/>
      <c r="E1" s="259"/>
      <c r="F1" s="260" t="str">
        <f>"Quadro de Composição do BDI"</f>
        <v>Quadro de Composição do BDI</v>
      </c>
      <c r="G1" s="259"/>
      <c r="H1" s="259"/>
      <c r="I1" s="645" t="s">
        <v>284</v>
      </c>
      <c r="J1" s="645"/>
    </row>
    <row r="2" spans="1:10">
      <c r="A2" s="259"/>
      <c r="B2" s="259"/>
      <c r="C2" s="259"/>
      <c r="D2" s="259"/>
      <c r="E2" s="259"/>
      <c r="F2" s="259"/>
      <c r="G2" s="259"/>
      <c r="H2" s="259"/>
      <c r="I2" s="646" t="s">
        <v>285</v>
      </c>
      <c r="J2" s="646"/>
    </row>
    <row r="3" spans="1:10">
      <c r="A3" s="259"/>
      <c r="B3" s="259"/>
      <c r="C3" s="259"/>
      <c r="D3" s="259"/>
      <c r="E3" s="259"/>
      <c r="F3" s="259"/>
      <c r="G3" s="259"/>
      <c r="H3" s="259"/>
      <c r="I3" s="259"/>
      <c r="J3" s="259"/>
    </row>
    <row r="4" spans="1:10">
      <c r="A4" s="629" t="s">
        <v>286</v>
      </c>
      <c r="B4" s="629"/>
      <c r="C4" s="629" t="s">
        <v>287</v>
      </c>
      <c r="D4" s="629"/>
      <c r="E4" s="629" t="s">
        <v>288</v>
      </c>
      <c r="F4" s="629"/>
      <c r="G4" s="629"/>
      <c r="H4" s="629"/>
      <c r="I4" s="629"/>
      <c r="J4" s="629"/>
    </row>
    <row r="5" spans="1:10">
      <c r="A5" s="647"/>
      <c r="B5" s="647"/>
      <c r="C5" s="647"/>
      <c r="D5" s="647"/>
      <c r="E5" s="647" t="s">
        <v>334</v>
      </c>
      <c r="F5" s="647"/>
      <c r="G5" s="647"/>
      <c r="H5" s="647"/>
      <c r="I5" s="647"/>
      <c r="J5" s="647"/>
    </row>
    <row r="6" spans="1:10">
      <c r="A6" s="261"/>
      <c r="B6" s="261"/>
      <c r="C6" s="261"/>
      <c r="D6" s="261"/>
      <c r="E6" s="261"/>
      <c r="F6" s="261"/>
      <c r="G6" s="261"/>
      <c r="H6" s="261"/>
      <c r="I6" s="261"/>
      <c r="J6" s="261"/>
    </row>
    <row r="7" spans="1:10">
      <c r="A7" s="629" t="s">
        <v>289</v>
      </c>
      <c r="B7" s="629"/>
      <c r="C7" s="629"/>
      <c r="D7" s="629"/>
      <c r="E7" s="629"/>
      <c r="F7" s="629"/>
      <c r="G7" s="629"/>
      <c r="H7" s="629"/>
      <c r="I7" s="629"/>
      <c r="J7" s="629"/>
    </row>
    <row r="8" spans="1:10">
      <c r="A8" s="641" t="s">
        <v>335</v>
      </c>
      <c r="B8" s="641"/>
      <c r="C8" s="641"/>
      <c r="D8" s="641"/>
      <c r="E8" s="641"/>
      <c r="F8" s="641"/>
      <c r="G8" s="641"/>
      <c r="H8" s="641"/>
      <c r="I8" s="641"/>
      <c r="J8" s="641"/>
    </row>
    <row r="9" spans="1:10">
      <c r="A9" s="261"/>
      <c r="B9" s="261"/>
      <c r="C9" s="261"/>
      <c r="D9" s="261"/>
      <c r="E9" s="261"/>
      <c r="F9" s="261"/>
      <c r="G9" s="261"/>
      <c r="H9" s="261"/>
      <c r="I9" s="261"/>
      <c r="J9" s="261"/>
    </row>
    <row r="10" spans="1:10">
      <c r="A10" s="642" t="s">
        <v>290</v>
      </c>
      <c r="B10" s="642"/>
      <c r="C10" s="642"/>
      <c r="D10" s="642"/>
      <c r="E10" s="642"/>
      <c r="F10" s="642"/>
      <c r="G10" s="642"/>
      <c r="H10" s="642"/>
      <c r="I10" s="643">
        <v>1</v>
      </c>
      <c r="J10" s="643"/>
    </row>
    <row r="11" spans="1:10">
      <c r="A11" s="644" t="s">
        <v>291</v>
      </c>
      <c r="B11" s="644"/>
      <c r="C11" s="644"/>
      <c r="D11" s="644"/>
      <c r="E11" s="644"/>
      <c r="F11" s="644"/>
      <c r="G11" s="644"/>
      <c r="H11" s="644"/>
      <c r="I11" s="643">
        <v>2.5000000000000001E-2</v>
      </c>
      <c r="J11" s="643"/>
    </row>
    <row r="12" spans="1:10" ht="7.95" customHeight="1">
      <c r="A12" s="262"/>
      <c r="B12" s="262"/>
      <c r="C12" s="262"/>
      <c r="D12" s="262"/>
      <c r="E12" s="262"/>
      <c r="F12" s="262"/>
      <c r="G12" s="262"/>
      <c r="H12" s="262"/>
      <c r="I12" s="262"/>
      <c r="J12" s="262"/>
    </row>
    <row r="13" spans="1:10" ht="15.6">
      <c r="A13" s="628" t="s">
        <v>292</v>
      </c>
      <c r="B13" s="628"/>
      <c r="C13" s="628"/>
      <c r="D13" s="628"/>
      <c r="E13" s="628"/>
      <c r="F13" s="628"/>
      <c r="G13" s="628"/>
      <c r="H13" s="628"/>
      <c r="I13" s="628"/>
      <c r="J13" s="628"/>
    </row>
    <row r="14" spans="1:10" ht="7.95" customHeight="1">
      <c r="A14" s="259"/>
      <c r="B14" s="259"/>
      <c r="C14" s="259"/>
      <c r="D14" s="259"/>
      <c r="E14" s="259"/>
      <c r="F14" s="259"/>
      <c r="G14" s="259"/>
      <c r="H14" s="259"/>
      <c r="I14" s="259"/>
      <c r="J14" s="259"/>
    </row>
    <row r="15" spans="1:10">
      <c r="A15" s="629" t="s">
        <v>185</v>
      </c>
      <c r="B15" s="629"/>
      <c r="C15" s="629"/>
      <c r="D15" s="629"/>
      <c r="E15" s="629"/>
      <c r="F15" s="629"/>
      <c r="G15" s="629"/>
      <c r="H15" s="629"/>
      <c r="I15" s="629"/>
      <c r="J15" s="629"/>
    </row>
    <row r="16" spans="1:10">
      <c r="A16" s="630" t="s">
        <v>293</v>
      </c>
      <c r="B16" s="630"/>
      <c r="C16" s="630"/>
      <c r="D16" s="630"/>
      <c r="E16" s="630"/>
      <c r="F16" s="630"/>
      <c r="G16" s="630"/>
      <c r="H16" s="630"/>
      <c r="I16" s="630"/>
      <c r="J16" s="630"/>
    </row>
    <row r="17" spans="1:18">
      <c r="A17" s="259"/>
      <c r="B17" s="259"/>
      <c r="C17" s="259"/>
      <c r="D17" s="259"/>
      <c r="E17" s="259"/>
      <c r="F17" s="259"/>
      <c r="G17" s="259"/>
      <c r="H17" s="259"/>
      <c r="I17" s="259"/>
      <c r="J17" s="259"/>
    </row>
    <row r="18" spans="1:18" ht="13.2" customHeight="1">
      <c r="A18" s="631" t="s">
        <v>294</v>
      </c>
      <c r="B18" s="631"/>
      <c r="C18" s="631"/>
      <c r="D18" s="631"/>
      <c r="E18" s="631"/>
      <c r="F18" s="631"/>
      <c r="G18" s="631"/>
      <c r="H18" s="631"/>
      <c r="I18" s="631" t="s">
        <v>295</v>
      </c>
      <c r="J18" s="624" t="s">
        <v>296</v>
      </c>
      <c r="L18" s="639" t="s">
        <v>297</v>
      </c>
      <c r="M18" s="640"/>
      <c r="N18" s="640"/>
      <c r="O18" s="263" t="s">
        <v>298</v>
      </c>
      <c r="P18" s="263" t="s">
        <v>299</v>
      </c>
      <c r="Q18" s="263" t="s">
        <v>300</v>
      </c>
      <c r="R18" s="264"/>
    </row>
    <row r="19" spans="1:18" ht="13.2" customHeight="1">
      <c r="A19" s="631"/>
      <c r="B19" s="631"/>
      <c r="C19" s="631"/>
      <c r="D19" s="631"/>
      <c r="E19" s="631"/>
      <c r="F19" s="631"/>
      <c r="G19" s="631"/>
      <c r="H19" s="631"/>
      <c r="I19" s="631"/>
      <c r="J19" s="624"/>
      <c r="L19" s="265"/>
      <c r="R19" s="266"/>
    </row>
    <row r="20" spans="1:18" ht="13.8">
      <c r="A20" s="638" t="s">
        <v>301</v>
      </c>
      <c r="B20" s="622"/>
      <c r="C20" s="622"/>
      <c r="D20" s="622"/>
      <c r="E20" s="622"/>
      <c r="F20" s="622"/>
      <c r="G20" s="622"/>
      <c r="H20" s="622"/>
      <c r="I20" s="267" t="s">
        <v>302</v>
      </c>
      <c r="J20" s="268">
        <v>3.7999999999999999E-2</v>
      </c>
      <c r="L20" s="635" t="str">
        <f>IFERROR(IF(K20="◄","FALTA PREENCHER",IF(AND(OR(J20&gt;=O20,O20="-"),OR(J20&lt;=Q20,Q20="-")),"OK","FORA DO INTERVALO")),"-")</f>
        <v>OK</v>
      </c>
      <c r="M20" s="636"/>
      <c r="N20" s="637"/>
      <c r="O20" s="268">
        <v>3.7999999999999999E-2</v>
      </c>
      <c r="P20" s="268">
        <v>4.0099999999999997E-2</v>
      </c>
      <c r="Q20" s="268">
        <v>4.6699999999999998E-2</v>
      </c>
      <c r="R20" s="269"/>
    </row>
    <row r="21" spans="1:18" ht="13.8">
      <c r="A21" s="638" t="s">
        <v>200</v>
      </c>
      <c r="B21" s="622"/>
      <c r="C21" s="622"/>
      <c r="D21" s="622"/>
      <c r="E21" s="622"/>
      <c r="F21" s="622"/>
      <c r="G21" s="622"/>
      <c r="H21" s="622"/>
      <c r="I21" s="267" t="s">
        <v>303</v>
      </c>
      <c r="J21" s="268">
        <v>3.2000000000000002E-3</v>
      </c>
      <c r="L21" s="635" t="str">
        <f t="shared" ref="L21:L27" si="0">IFERROR(IF(K21="◄","FALTA PREENCHER",IF(AND(OR(J21&gt;=O21,O21="-"),OR(J21&lt;=Q21,Q21="-")),"OK","FORA DO INTERVALO")),"-")</f>
        <v>OK</v>
      </c>
      <c r="M21" s="636"/>
      <c r="N21" s="637"/>
      <c r="O21" s="268">
        <v>3.2000000000000002E-3</v>
      </c>
      <c r="P21" s="268">
        <v>4.0000000000000001E-3</v>
      </c>
      <c r="Q21" s="268">
        <v>7.4000000000000003E-3</v>
      </c>
      <c r="R21" s="269"/>
    </row>
    <row r="22" spans="1:18" ht="13.8">
      <c r="A22" s="638" t="s">
        <v>304</v>
      </c>
      <c r="B22" s="622"/>
      <c r="C22" s="622"/>
      <c r="D22" s="622"/>
      <c r="E22" s="622"/>
      <c r="F22" s="622"/>
      <c r="G22" s="622"/>
      <c r="H22" s="622"/>
      <c r="I22" s="267" t="s">
        <v>305</v>
      </c>
      <c r="J22" s="268">
        <v>5.0000000000000001E-3</v>
      </c>
      <c r="L22" s="635" t="str">
        <f t="shared" si="0"/>
        <v>OK</v>
      </c>
      <c r="M22" s="636"/>
      <c r="N22" s="637"/>
      <c r="O22" s="268">
        <v>5.0000000000000001E-3</v>
      </c>
      <c r="P22" s="268">
        <v>5.6000000000000008E-3</v>
      </c>
      <c r="Q22" s="268">
        <v>9.7000000000000003E-3</v>
      </c>
      <c r="R22" s="269"/>
    </row>
    <row r="23" spans="1:18" ht="13.8" customHeight="1">
      <c r="A23" s="638" t="s">
        <v>306</v>
      </c>
      <c r="B23" s="622"/>
      <c r="C23" s="622"/>
      <c r="D23" s="622"/>
      <c r="E23" s="622"/>
      <c r="F23" s="622"/>
      <c r="G23" s="622"/>
      <c r="H23" s="622"/>
      <c r="I23" s="267" t="s">
        <v>307</v>
      </c>
      <c r="J23" s="268">
        <v>1.06E-2</v>
      </c>
      <c r="L23" s="635" t="str">
        <f t="shared" si="0"/>
        <v>OK</v>
      </c>
      <c r="M23" s="636"/>
      <c r="N23" s="637"/>
      <c r="O23" s="268">
        <v>1.0200000000000001E-2</v>
      </c>
      <c r="P23" s="268">
        <v>1.11E-2</v>
      </c>
      <c r="Q23" s="268">
        <v>1.21E-2</v>
      </c>
      <c r="R23" s="269"/>
    </row>
    <row r="24" spans="1:18" ht="13.8">
      <c r="A24" s="638" t="s">
        <v>308</v>
      </c>
      <c r="B24" s="622"/>
      <c r="C24" s="622"/>
      <c r="D24" s="622"/>
      <c r="E24" s="622"/>
      <c r="F24" s="622"/>
      <c r="G24" s="622"/>
      <c r="H24" s="622"/>
      <c r="I24" s="267" t="s">
        <v>309</v>
      </c>
      <c r="J24" s="268">
        <v>7.2999999999999995E-2</v>
      </c>
      <c r="L24" s="635" t="str">
        <f t="shared" si="0"/>
        <v>OK</v>
      </c>
      <c r="M24" s="636"/>
      <c r="N24" s="637"/>
      <c r="O24" s="268">
        <v>6.6400000000000001E-2</v>
      </c>
      <c r="P24" s="268">
        <v>7.2999999999999995E-2</v>
      </c>
      <c r="Q24" s="268">
        <v>8.6899999999999991E-2</v>
      </c>
      <c r="R24" s="269"/>
    </row>
    <row r="25" spans="1:18" ht="13.8">
      <c r="A25" s="622" t="s">
        <v>310</v>
      </c>
      <c r="B25" s="622"/>
      <c r="C25" s="622"/>
      <c r="D25" s="622"/>
      <c r="E25" s="622"/>
      <c r="F25" s="622"/>
      <c r="G25" s="622"/>
      <c r="H25" s="622"/>
      <c r="I25" s="267" t="s">
        <v>311</v>
      </c>
      <c r="J25" s="268">
        <v>3.6499999999999998E-2</v>
      </c>
      <c r="L25" s="635" t="str">
        <f t="shared" si="0"/>
        <v>OK</v>
      </c>
      <c r="M25" s="636"/>
      <c r="N25" s="637"/>
      <c r="O25" s="268">
        <v>3.6499999999999998E-2</v>
      </c>
      <c r="P25" s="268">
        <v>3.6499999999999998E-2</v>
      </c>
      <c r="Q25" s="268">
        <v>3.6499999999999998E-2</v>
      </c>
      <c r="R25" s="269"/>
    </row>
    <row r="26" spans="1:18" ht="13.8">
      <c r="A26" s="622" t="s">
        <v>312</v>
      </c>
      <c r="B26" s="622"/>
      <c r="C26" s="622"/>
      <c r="D26" s="622"/>
      <c r="E26" s="622"/>
      <c r="F26" s="622"/>
      <c r="G26" s="622"/>
      <c r="H26" s="622"/>
      <c r="I26" s="267" t="s">
        <v>207</v>
      </c>
      <c r="J26" s="268">
        <v>2.5000000000000001E-2</v>
      </c>
      <c r="L26" s="635" t="str">
        <f t="shared" si="0"/>
        <v>OK</v>
      </c>
      <c r="M26" s="636"/>
      <c r="N26" s="637"/>
      <c r="O26" s="268">
        <v>0</v>
      </c>
      <c r="P26" s="268">
        <v>2.5000000000000001E-2</v>
      </c>
      <c r="Q26" s="268">
        <v>0.05</v>
      </c>
      <c r="R26" s="269"/>
    </row>
    <row r="27" spans="1:18" ht="13.8">
      <c r="A27" s="622" t="s">
        <v>313</v>
      </c>
      <c r="B27" s="622"/>
      <c r="C27" s="622"/>
      <c r="D27" s="622"/>
      <c r="E27" s="622"/>
      <c r="F27" s="622"/>
      <c r="G27" s="622"/>
      <c r="H27" s="622"/>
      <c r="I27" s="267" t="s">
        <v>314</v>
      </c>
      <c r="J27" s="268">
        <v>3.5999999999999997E-2</v>
      </c>
      <c r="L27" s="635" t="str">
        <f t="shared" si="0"/>
        <v>OK</v>
      </c>
      <c r="M27" s="636"/>
      <c r="N27" s="637"/>
      <c r="O27" s="270">
        <v>3.6000000000000004E-2</v>
      </c>
      <c r="P27" s="270">
        <v>3.6000000000000004E-2</v>
      </c>
      <c r="Q27" s="270">
        <v>3.6000000000000004E-2</v>
      </c>
      <c r="R27" s="269"/>
    </row>
    <row r="28" spans="1:18" ht="13.8">
      <c r="A28" s="622" t="s">
        <v>315</v>
      </c>
      <c r="B28" s="622"/>
      <c r="C28" s="622"/>
      <c r="D28" s="622"/>
      <c r="E28" s="622"/>
      <c r="F28" s="622"/>
      <c r="G28" s="622"/>
      <c r="H28" s="622"/>
      <c r="I28" s="271" t="s">
        <v>316</v>
      </c>
      <c r="J28" s="268">
        <f>ROUND((((1+J20+J21+J22)*(1+J23)*(1+J24)/(1-(J25+J26)))-1),4)</f>
        <v>0.20880000000000001</v>
      </c>
      <c r="L28" s="635" t="str">
        <f>IFERROR(IF(AND(OR(J28&gt;=O28,O28="-"),OR(J28&lt;=Q28,Q28="-")),"OK","FORA DO INTERVALO"),IF(J28=0,"OK","Selecione o Tipo de obra"))</f>
        <v>OK</v>
      </c>
      <c r="M28" s="636"/>
      <c r="N28" s="637"/>
      <c r="O28" s="268">
        <v>0.19600000000000001</v>
      </c>
      <c r="P28" s="268">
        <v>0.2097</v>
      </c>
      <c r="Q28" s="268">
        <v>0.24230000000000002</v>
      </c>
      <c r="R28" s="269"/>
    </row>
    <row r="29" spans="1:18" ht="13.8" hidden="1">
      <c r="A29" s="625" t="s">
        <v>317</v>
      </c>
      <c r="B29" s="625"/>
      <c r="C29" s="625"/>
      <c r="D29" s="625"/>
      <c r="E29" s="625"/>
      <c r="F29" s="625"/>
      <c r="G29" s="625"/>
      <c r="H29" s="625"/>
      <c r="I29" s="272" t="s">
        <v>318</v>
      </c>
      <c r="J29" s="273">
        <f>IF($J16=$A$144,0,ROUND((((1+J20+J21+J22)*(1+J23)*(1+J24)/(1-(J25+J26+J27)))-1),4))</f>
        <v>0</v>
      </c>
      <c r="L29" s="274"/>
      <c r="M29" s="275"/>
      <c r="N29" s="275"/>
      <c r="O29" s="275"/>
      <c r="P29" s="275"/>
      <c r="Q29" s="275"/>
      <c r="R29" s="276"/>
    </row>
    <row r="30" spans="1:18" hidden="1">
      <c r="A30" s="259"/>
      <c r="B30" s="259"/>
      <c r="C30" s="259"/>
      <c r="D30" s="259"/>
      <c r="E30" s="259"/>
      <c r="F30" s="259"/>
      <c r="G30" s="259"/>
      <c r="H30" s="259"/>
      <c r="I30" s="259"/>
      <c r="J30" s="259"/>
    </row>
    <row r="31" spans="1:18" ht="15.6" hidden="1">
      <c r="A31" s="277" t="str">
        <f>IF(L28&lt;&gt;"ok","X","")</f>
        <v/>
      </c>
      <c r="B31" s="626" t="str">
        <f>IF(L28&lt;&gt;"ok","Anexo: Relatório Técnico Circunstanciado justificando a adoção do percentual de cada parcela do BDI.","")</f>
        <v/>
      </c>
      <c r="C31" s="626"/>
      <c r="D31" s="626"/>
      <c r="E31" s="626"/>
      <c r="F31" s="626"/>
      <c r="G31" s="626"/>
      <c r="H31" s="626"/>
      <c r="I31" s="626"/>
      <c r="J31" s="626"/>
    </row>
    <row r="32" spans="1:18" ht="13.8">
      <c r="A32" s="625" t="s">
        <v>317</v>
      </c>
      <c r="B32" s="625"/>
      <c r="C32" s="625"/>
      <c r="D32" s="625"/>
      <c r="E32" s="625"/>
      <c r="F32" s="625"/>
      <c r="G32" s="625"/>
      <c r="H32" s="625"/>
      <c r="I32" s="272" t="s">
        <v>318</v>
      </c>
      <c r="J32" s="273">
        <f>ROUND((((1+J20+J21+J22)*(1+J23)*(1+J24)/(1-(J25+J26+J27)))-1),4)</f>
        <v>0.25700000000000001</v>
      </c>
    </row>
    <row r="33" spans="1:10">
      <c r="A33" s="259"/>
      <c r="B33" s="259"/>
      <c r="C33" s="259"/>
      <c r="D33" s="259"/>
      <c r="E33" s="259"/>
      <c r="F33" s="259"/>
      <c r="G33" s="259"/>
      <c r="H33" s="259"/>
      <c r="I33" s="259"/>
      <c r="J33" s="259"/>
    </row>
    <row r="34" spans="1:10">
      <c r="A34" s="617" t="s">
        <v>319</v>
      </c>
      <c r="B34" s="617"/>
      <c r="C34" s="617"/>
      <c r="D34" s="617"/>
      <c r="E34" s="617"/>
      <c r="F34" s="617"/>
      <c r="G34" s="617"/>
      <c r="H34" s="617"/>
      <c r="I34" s="617"/>
      <c r="J34" s="617"/>
    </row>
    <row r="35" spans="1:10" ht="15.6">
      <c r="A35" s="278"/>
      <c r="B35" s="278"/>
      <c r="C35" s="278"/>
      <c r="D35" s="618" t="s">
        <v>320</v>
      </c>
      <c r="E35" s="633" t="s">
        <v>321</v>
      </c>
      <c r="F35" s="619"/>
      <c r="G35" s="619"/>
      <c r="H35" s="620" t="s">
        <v>322</v>
      </c>
      <c r="I35" s="281"/>
      <c r="J35" s="278"/>
    </row>
    <row r="36" spans="1:10" ht="15.6">
      <c r="A36" s="278"/>
      <c r="B36" s="278"/>
      <c r="C36" s="278"/>
      <c r="D36" s="618"/>
      <c r="E36" s="634" t="s">
        <v>323</v>
      </c>
      <c r="F36" s="621"/>
      <c r="G36" s="621"/>
      <c r="H36" s="620"/>
      <c r="I36" s="278"/>
      <c r="J36" s="278"/>
    </row>
    <row r="37" spans="1:10">
      <c r="A37" s="283"/>
      <c r="B37" s="283"/>
      <c r="C37" s="283"/>
      <c r="D37" s="283"/>
      <c r="E37" s="283"/>
      <c r="F37" s="283"/>
      <c r="G37" s="283"/>
      <c r="H37" s="283"/>
      <c r="I37" s="283"/>
      <c r="J37" s="283"/>
    </row>
    <row r="38" spans="1:10" ht="33" customHeight="1">
      <c r="A38" s="611" t="str">
        <f>CONCATENATE("Declaro para os devidos fins que, conforme legislação tributária municipal, a base de cálculo deste tipo de obra corresponde à ",$I$10*100,"%, com a respectiva alíquota de ",$I$11*100,"%.")</f>
        <v>Declaro para os devidos fins que, conforme legislação tributária municipal, a base de cálculo deste tipo de obra corresponde à 100%, com a respectiva alíquota de 2,5%.</v>
      </c>
      <c r="B38" s="611"/>
      <c r="C38" s="611"/>
      <c r="D38" s="611"/>
      <c r="E38" s="611"/>
      <c r="F38" s="611"/>
      <c r="G38" s="611"/>
      <c r="H38" s="611"/>
      <c r="I38" s="611"/>
      <c r="J38" s="611"/>
    </row>
    <row r="39" spans="1:10">
      <c r="A39" s="259"/>
      <c r="B39" s="259"/>
      <c r="C39" s="259"/>
      <c r="D39" s="259"/>
      <c r="E39" s="259"/>
      <c r="F39" s="259"/>
      <c r="G39" s="259"/>
      <c r="H39" s="259"/>
      <c r="I39" s="259"/>
      <c r="J39" s="259"/>
    </row>
    <row r="40" spans="1:10">
      <c r="A40" s="259"/>
      <c r="B40" s="259"/>
      <c r="C40" s="259"/>
      <c r="D40" s="259"/>
      <c r="E40" s="259"/>
      <c r="F40" s="259"/>
      <c r="G40" s="259"/>
      <c r="H40" s="259"/>
      <c r="I40" s="259"/>
      <c r="J40" s="259"/>
    </row>
    <row r="41" spans="1:10">
      <c r="A41" s="259" t="s">
        <v>324</v>
      </c>
      <c r="B41" s="259"/>
      <c r="C41" s="259"/>
      <c r="D41" s="259"/>
      <c r="E41" s="259"/>
      <c r="F41" s="259"/>
      <c r="G41" s="259"/>
      <c r="H41" s="259"/>
      <c r="I41" s="259"/>
      <c r="J41" s="259"/>
    </row>
    <row r="42" spans="1:10">
      <c r="A42" s="612"/>
      <c r="B42" s="612"/>
      <c r="C42" s="612"/>
      <c r="D42" s="612"/>
      <c r="E42" s="612"/>
      <c r="F42" s="612"/>
      <c r="G42" s="612"/>
      <c r="H42" s="612"/>
      <c r="I42" s="612"/>
      <c r="J42" s="612"/>
    </row>
    <row r="43" spans="1:10">
      <c r="A43" s="259"/>
      <c r="B43" s="259"/>
      <c r="C43" s="259"/>
      <c r="D43" s="259"/>
      <c r="E43" s="259"/>
      <c r="F43" s="259"/>
      <c r="G43" s="259"/>
      <c r="H43" s="259"/>
      <c r="I43" s="259"/>
      <c r="J43" s="259"/>
    </row>
    <row r="44" spans="1:10">
      <c r="A44" s="632" t="s">
        <v>336</v>
      </c>
      <c r="B44" s="613"/>
      <c r="C44" s="613"/>
      <c r="D44" s="613"/>
      <c r="E44" s="259"/>
      <c r="F44" s="259"/>
      <c r="G44" s="675">
        <v>46113</v>
      </c>
      <c r="H44" s="675"/>
      <c r="I44" s="675"/>
      <c r="J44" s="284"/>
    </row>
    <row r="45" spans="1:10">
      <c r="A45" s="615" t="s">
        <v>325</v>
      </c>
      <c r="B45" s="615"/>
      <c r="C45" s="615"/>
      <c r="D45" s="615"/>
      <c r="E45" s="259"/>
      <c r="F45" s="285"/>
      <c r="G45" s="286" t="s">
        <v>326</v>
      </c>
      <c r="H45" s="287"/>
      <c r="I45" s="287"/>
      <c r="J45" s="287"/>
    </row>
    <row r="46" spans="1:10">
      <c r="A46" s="259"/>
      <c r="B46" s="259"/>
      <c r="C46" s="259"/>
      <c r="D46" s="259"/>
      <c r="E46" s="259"/>
      <c r="F46" s="259"/>
      <c r="G46" s="259"/>
      <c r="H46" s="259"/>
      <c r="I46" s="259"/>
      <c r="J46" s="259"/>
    </row>
    <row r="47" spans="1:10" ht="13.8">
      <c r="A47" s="616"/>
      <c r="B47" s="616"/>
      <c r="C47" s="616"/>
      <c r="D47" s="616"/>
      <c r="E47" s="288"/>
      <c r="F47" s="259"/>
      <c r="G47" s="259"/>
      <c r="H47" s="259"/>
      <c r="I47" s="259"/>
      <c r="J47" s="259"/>
    </row>
    <row r="48" spans="1:10">
      <c r="A48" s="610" t="s">
        <v>327</v>
      </c>
      <c r="B48" s="610"/>
      <c r="C48" s="610"/>
      <c r="D48" s="610"/>
      <c r="E48" s="259"/>
      <c r="F48" s="259"/>
      <c r="G48" s="259"/>
      <c r="H48" s="259"/>
      <c r="I48" s="259"/>
      <c r="J48" s="259"/>
    </row>
    <row r="49" spans="1:17" ht="13.8">
      <c r="A49" s="289" t="s">
        <v>328</v>
      </c>
      <c r="B49" s="290" t="str">
        <f t="array" ref="B49:B51">Import.RespOrçamento</f>
        <v>PRISCILA CRISTINA DE PAULA NETO</v>
      </c>
      <c r="C49" s="291"/>
      <c r="D49" s="291"/>
      <c r="E49" s="288"/>
      <c r="F49" s="259"/>
      <c r="G49" s="259"/>
      <c r="H49" s="259"/>
      <c r="I49" s="259"/>
      <c r="J49" s="259"/>
    </row>
    <row r="50" spans="1:17" ht="22.2" customHeight="1">
      <c r="A50" s="678" t="s">
        <v>329</v>
      </c>
      <c r="B50" s="679" t="str">
        <v>142.702/D</v>
      </c>
      <c r="C50" s="291"/>
      <c r="D50" s="291"/>
      <c r="E50" s="288"/>
      <c r="F50" s="677" t="s">
        <v>337</v>
      </c>
      <c r="G50" s="677"/>
      <c r="H50" s="259"/>
      <c r="I50" s="259"/>
      <c r="J50" s="259"/>
    </row>
    <row r="51" spans="1:17" ht="13.8">
      <c r="A51" s="289"/>
      <c r="B51" s="676" t="str">
        <v>MG20254432279</v>
      </c>
      <c r="C51" s="291"/>
      <c r="D51" s="291"/>
      <c r="E51" s="288"/>
      <c r="F51" s="259"/>
      <c r="G51" s="259"/>
      <c r="H51" s="259"/>
      <c r="I51" s="259"/>
      <c r="J51" s="259"/>
    </row>
    <row r="52" spans="1:17" ht="15.6" hidden="1">
      <c r="A52" s="628" t="s">
        <v>331</v>
      </c>
      <c r="B52" s="628"/>
      <c r="C52" s="628"/>
      <c r="D52" s="628"/>
      <c r="E52" s="628"/>
      <c r="F52" s="628"/>
      <c r="G52" s="628"/>
      <c r="H52" s="628"/>
      <c r="I52" s="628"/>
      <c r="J52" s="628"/>
      <c r="L52" s="292" t="e">
        <f>IF(COUNTIF([3]ORÇAMENTO!$V$15:$V$245,BDI_2.Título)=0,"",IF(OR(Import.BDI.Tipo2="(SELECIONAR)",Import.BDI.Tipo2="",L55&lt;&gt;"",AND($J55&lt;&gt;$A$145,OR(J59="",J60="",AND($J55&lt;&gt;$A$146,OR(J61="",J62="")),J63="",J64=""))),"Falta preencher o BDI 2",""))</f>
        <v>#VALUE!</v>
      </c>
    </row>
    <row r="53" spans="1:17" hidden="1">
      <c r="A53" s="259"/>
      <c r="B53" s="259"/>
      <c r="C53" s="259"/>
      <c r="D53" s="259"/>
      <c r="E53" s="259"/>
      <c r="F53" s="259"/>
      <c r="G53" s="259"/>
      <c r="H53" s="259"/>
      <c r="I53" s="259"/>
      <c r="J53" s="259"/>
    </row>
    <row r="54" spans="1:17" hidden="1">
      <c r="A54" s="629" t="s">
        <v>185</v>
      </c>
      <c r="B54" s="629"/>
      <c r="C54" s="629"/>
      <c r="D54" s="629"/>
      <c r="E54" s="629"/>
      <c r="F54" s="629"/>
      <c r="G54" s="629"/>
      <c r="H54" s="629"/>
      <c r="I54" s="629"/>
      <c r="J54" s="629"/>
    </row>
    <row r="55" spans="1:17" ht="13.8" hidden="1">
      <c r="A55" s="630" t="s">
        <v>332</v>
      </c>
      <c r="B55" s="630"/>
      <c r="C55" s="630"/>
      <c r="D55" s="630"/>
      <c r="E55" s="630"/>
      <c r="F55" s="630"/>
      <c r="G55" s="630"/>
      <c r="H55" s="630"/>
      <c r="I55" s="630"/>
      <c r="J55" s="630"/>
      <c r="K55" s="293" t="e">
        <f>IF(L55="","","◄")</f>
        <v>#VALUE!</v>
      </c>
      <c r="L55" s="294" t="e">
        <f>IF(AND(OR(J67&gt;0,COUNTIF([3]ORÇAMENTO!$V$15:$V$245,BDI_2.Título)&gt;0),OR(Import.BDI.Tipo2="(SELECIONAR)",Import.BDI.Tipo2="")),"Selecione o Tipo de obra","")</f>
        <v>#VALUE!</v>
      </c>
    </row>
    <row r="56" spans="1:17" hidden="1">
      <c r="A56" s="259"/>
      <c r="B56" s="259"/>
      <c r="C56" s="259"/>
      <c r="D56" s="259"/>
      <c r="E56" s="259"/>
      <c r="F56" s="259"/>
      <c r="G56" s="259"/>
      <c r="H56" s="259"/>
      <c r="I56" s="259"/>
      <c r="J56" s="259"/>
    </row>
    <row r="57" spans="1:17" hidden="1">
      <c r="A57" s="631" t="s">
        <v>294</v>
      </c>
      <c r="B57" s="631"/>
      <c r="C57" s="631"/>
      <c r="D57" s="631"/>
      <c r="E57" s="631"/>
      <c r="F57" s="631"/>
      <c r="G57" s="631"/>
      <c r="H57" s="631"/>
      <c r="I57" s="631" t="s">
        <v>295</v>
      </c>
      <c r="J57" s="624" t="s">
        <v>296</v>
      </c>
      <c r="L57" s="624" t="s">
        <v>297</v>
      </c>
      <c r="M57" s="624"/>
      <c r="N57" s="624"/>
      <c r="O57" s="627" t="s">
        <v>298</v>
      </c>
      <c r="P57" s="627" t="s">
        <v>299</v>
      </c>
      <c r="Q57" s="627" t="s">
        <v>300</v>
      </c>
    </row>
    <row r="58" spans="1:17" hidden="1">
      <c r="A58" s="631"/>
      <c r="B58" s="631"/>
      <c r="C58" s="631"/>
      <c r="D58" s="631"/>
      <c r="E58" s="631"/>
      <c r="F58" s="631"/>
      <c r="G58" s="631"/>
      <c r="H58" s="631"/>
      <c r="I58" s="631"/>
      <c r="J58" s="624"/>
      <c r="L58" s="624"/>
      <c r="M58" s="624"/>
      <c r="N58" s="624"/>
      <c r="O58" s="627"/>
      <c r="P58" s="627"/>
      <c r="Q58" s="627"/>
    </row>
    <row r="59" spans="1:17" ht="13.8" hidden="1">
      <c r="A59" s="622" t="str">
        <f>IF($J$17=$A$146,"Encargos Sociais incidentes sobre a mão de obra","Administração Central")</f>
        <v>Encargos Sociais incidentes sobre a mão de obra</v>
      </c>
      <c r="B59" s="622"/>
      <c r="C59" s="622"/>
      <c r="D59" s="622"/>
      <c r="E59" s="622"/>
      <c r="F59" s="622"/>
      <c r="G59" s="622"/>
      <c r="H59" s="622"/>
      <c r="I59" s="267" t="str">
        <f>IF($J55=$A$146,"K1","AC")</f>
        <v>K1</v>
      </c>
      <c r="J59" s="295"/>
      <c r="K59" s="296" t="str">
        <f>IF(AND($U$54&lt;&gt;"",$U$57="",I59&lt;&gt;"",J59=""),"◄","")</f>
        <v/>
      </c>
      <c r="L59" s="623" t="str">
        <f>IFERROR(IF(K59="◄","FALTA PREENCHER",IF(AND(OR(J59&gt;=O59,O59="-"),OR(J59&lt;=Q59,Q59="-")),"OK","FORA DO INTERVALO")),"-")</f>
        <v>-</v>
      </c>
      <c r="M59" s="623"/>
      <c r="N59" s="623"/>
      <c r="O59" s="268" t="e">
        <f>VLOOKUP(CONCATENATE(A55,"-",I59),$C$2:$G$136,3,FALSE)</f>
        <v>#N/A</v>
      </c>
      <c r="P59" s="268" t="e">
        <f>VLOOKUP(CONCATENATE(A55,"-",I59),$C$2:$G$136,4,FALSE)</f>
        <v>#N/A</v>
      </c>
      <c r="Q59" s="268" t="e">
        <f>VLOOKUP(CONCATENATE(A55,"-",I59),$C$2:$G$136,5,FALSE)</f>
        <v>#N/A</v>
      </c>
    </row>
    <row r="60" spans="1:17" ht="13.8" hidden="1">
      <c r="A60" s="622" t="str">
        <f>IF($J$17=$A$146,"Administração Central da empresa ou consultoria - overhead","Seguro e Garantia")</f>
        <v>Administração Central da empresa ou consultoria - overhead</v>
      </c>
      <c r="B60" s="622"/>
      <c r="C60" s="622"/>
      <c r="D60" s="622"/>
      <c r="E60" s="622"/>
      <c r="F60" s="622"/>
      <c r="G60" s="622"/>
      <c r="H60" s="622"/>
      <c r="I60" s="267" t="str">
        <f>IF($J55=$A$146,"K2","SG")</f>
        <v>K2</v>
      </c>
      <c r="J60" s="295"/>
      <c r="K60" s="296" t="str">
        <f t="shared" ref="K60:K64" si="1">IF(AND($U$54&lt;&gt;"",$U$57="",I60&lt;&gt;"",J60=""),"◄","")</f>
        <v/>
      </c>
      <c r="L60" s="623" t="str">
        <f t="shared" ref="L60:L66" si="2">IFERROR(IF(K60="◄","FALTA PREENCHER",IF(AND(OR(J60&gt;=O60,O60="-"),OR(J60&lt;=Q60,Q60="-")),"OK","FORA DO INTERVALO")),"-")</f>
        <v>-</v>
      </c>
      <c r="M60" s="623"/>
      <c r="N60" s="623"/>
      <c r="O60" s="268" t="e">
        <f>VLOOKUP(CONCATENATE(A55,"-",I60),$C$2:$G$136,3,FALSE)</f>
        <v>#N/A</v>
      </c>
      <c r="P60" s="268" t="e">
        <f>VLOOKUP(CONCATENATE(A55,"-",I60),$C$2:$G$136,4,FALSE)</f>
        <v>#N/A</v>
      </c>
      <c r="Q60" s="268" t="e">
        <f>VLOOKUP(CONCATENATE(A55,"-",I60),$C$2:$G$136,5,FALSE)</f>
        <v>#N/A</v>
      </c>
    </row>
    <row r="61" spans="1:17" ht="13.8" hidden="1">
      <c r="A61" s="622" t="s">
        <v>201</v>
      </c>
      <c r="B61" s="622"/>
      <c r="C61" s="622"/>
      <c r="D61" s="622"/>
      <c r="E61" s="622"/>
      <c r="F61" s="622"/>
      <c r="G61" s="622"/>
      <c r="H61" s="622"/>
      <c r="I61" s="267" t="str">
        <f>IF($J55=$A$146,"","R")</f>
        <v/>
      </c>
      <c r="J61" s="295"/>
      <c r="K61" s="296" t="str">
        <f t="shared" si="1"/>
        <v/>
      </c>
      <c r="L61" s="623" t="str">
        <f t="shared" si="2"/>
        <v>-</v>
      </c>
      <c r="M61" s="623"/>
      <c r="N61" s="623"/>
      <c r="O61" s="268" t="e">
        <f>VLOOKUP(CONCATENATE(A55,"-",I61),$C$2:$G$136,3,FALSE)</f>
        <v>#N/A</v>
      </c>
      <c r="P61" s="268" t="e">
        <f>VLOOKUP(CONCATENATE(A55,"-",I61),$C$2:$G$136,4,FALSE)</f>
        <v>#N/A</v>
      </c>
      <c r="Q61" s="268" t="e">
        <f>VLOOKUP(CONCATENATE(A55,"-",I61),$C$2:$G$136,5,FALSE)</f>
        <v>#N/A</v>
      </c>
    </row>
    <row r="62" spans="1:17" ht="13.8" hidden="1">
      <c r="A62" s="622" t="s">
        <v>202</v>
      </c>
      <c r="B62" s="622"/>
      <c r="C62" s="622"/>
      <c r="D62" s="622"/>
      <c r="E62" s="622"/>
      <c r="F62" s="622"/>
      <c r="G62" s="622"/>
      <c r="H62" s="622"/>
      <c r="I62" s="267" t="str">
        <f>IF($J55=$A$146,"","DF")</f>
        <v/>
      </c>
      <c r="J62" s="295"/>
      <c r="K62" s="296" t="str">
        <f t="shared" si="1"/>
        <v/>
      </c>
      <c r="L62" s="623" t="str">
        <f t="shared" si="2"/>
        <v>-</v>
      </c>
      <c r="M62" s="623"/>
      <c r="N62" s="623"/>
      <c r="O62" s="268" t="e">
        <f>VLOOKUP(CONCATENATE(A55,"-",I62),$C$2:$G$136,3,FALSE)</f>
        <v>#N/A</v>
      </c>
      <c r="P62" s="268" t="e">
        <f>VLOOKUP(CONCATENATE(A55,"-",I62),$C$2:$G$136,4,FALSE)</f>
        <v>#N/A</v>
      </c>
      <c r="Q62" s="268" t="e">
        <f>VLOOKUP(CONCATENATE(A55,"-",I62),$C$2:$G$136,5,FALSE)</f>
        <v>#N/A</v>
      </c>
    </row>
    <row r="63" spans="1:17" ht="13.8" hidden="1">
      <c r="A63" s="622" t="str">
        <f>IF($J$17=$A$146,"Margem bruta da empresa de consultoria","Lucro")</f>
        <v>Margem bruta da empresa de consultoria</v>
      </c>
      <c r="B63" s="622"/>
      <c r="C63" s="622"/>
      <c r="D63" s="622"/>
      <c r="E63" s="622"/>
      <c r="F63" s="622"/>
      <c r="G63" s="622"/>
      <c r="H63" s="622"/>
      <c r="I63" s="267" t="str">
        <f>IF($J55=$A$146,"K3","L")</f>
        <v>K3</v>
      </c>
      <c r="J63" s="295"/>
      <c r="K63" s="296" t="str">
        <f t="shared" si="1"/>
        <v/>
      </c>
      <c r="L63" s="623" t="str">
        <f t="shared" si="2"/>
        <v>-</v>
      </c>
      <c r="M63" s="623"/>
      <c r="N63" s="623"/>
      <c r="O63" s="268" t="e">
        <f>VLOOKUP(CONCATENATE(A55,"-",I63),$C$2:$G$136,3,FALSE)</f>
        <v>#N/A</v>
      </c>
      <c r="P63" s="268" t="e">
        <f>VLOOKUP(CONCATENATE(A55,"-",I63),$C$2:$G$136,4,FALSE)</f>
        <v>#N/A</v>
      </c>
      <c r="Q63" s="268" t="e">
        <f>VLOOKUP(CONCATENATE(A55,"-",I63),$C$2:$G$136,5,FALSE)</f>
        <v>#N/A</v>
      </c>
    </row>
    <row r="64" spans="1:17" ht="13.8" hidden="1">
      <c r="A64" s="622" t="s">
        <v>310</v>
      </c>
      <c r="B64" s="622"/>
      <c r="C64" s="622"/>
      <c r="D64" s="622"/>
      <c r="E64" s="622"/>
      <c r="F64" s="622"/>
      <c r="G64" s="622"/>
      <c r="H64" s="622"/>
      <c r="I64" s="267" t="s">
        <v>311</v>
      </c>
      <c r="J64" s="295"/>
      <c r="K64" s="296" t="str">
        <f t="shared" si="1"/>
        <v/>
      </c>
      <c r="L64" s="623" t="str">
        <f t="shared" si="2"/>
        <v>OK</v>
      </c>
      <c r="M64" s="623"/>
      <c r="N64" s="623"/>
      <c r="O64" s="268" t="str">
        <f>P64</f>
        <v>-</v>
      </c>
      <c r="P64" s="268" t="str">
        <f>IF($J55=$A$145,"-",3.65%)</f>
        <v>-</v>
      </c>
      <c r="Q64" s="268" t="str">
        <f>P64</f>
        <v>-</v>
      </c>
    </row>
    <row r="65" spans="1:17" ht="13.8" hidden="1">
      <c r="A65" s="622" t="s">
        <v>312</v>
      </c>
      <c r="B65" s="622"/>
      <c r="C65" s="622"/>
      <c r="D65" s="622"/>
      <c r="E65" s="622"/>
      <c r="F65" s="622"/>
      <c r="G65" s="622"/>
      <c r="H65" s="622"/>
      <c r="I65" s="267" t="s">
        <v>207</v>
      </c>
      <c r="J65" s="268">
        <f ca="1">IF(AND($J55&lt;&gt;$A$145,COUNTA(OFFSET(J58,1,0,6))&gt;0),$R$11*$R$10,0)</f>
        <v>0</v>
      </c>
      <c r="L65" s="623" t="str">
        <f t="shared" ca="1" si="2"/>
        <v>OK</v>
      </c>
      <c r="M65" s="623"/>
      <c r="N65" s="623"/>
      <c r="O65" s="268">
        <v>0</v>
      </c>
      <c r="P65" s="268">
        <v>2.5000000000000001E-2</v>
      </c>
      <c r="Q65" s="268">
        <v>0.05</v>
      </c>
    </row>
    <row r="66" spans="1:17" ht="13.8" hidden="1">
      <c r="A66" s="622" t="s">
        <v>313</v>
      </c>
      <c r="B66" s="622"/>
      <c r="C66" s="622"/>
      <c r="D66" s="622"/>
      <c r="E66" s="622"/>
      <c r="F66" s="622"/>
      <c r="G66" s="622"/>
      <c r="H66" s="622"/>
      <c r="I66" s="267" t="s">
        <v>314</v>
      </c>
      <c r="J66" s="268" cm="1">
        <f t="array" aca="1" ref="J66" ca="1">IF(BDI.Opcao&lt;&gt;"Desonerado",0,IF(AND($J55&lt;&gt;$A$145,COUNTA(OFFSET(J58,1,0,6))&gt;0),IF(YEAR(Import.DataBase)&lt;2025,4.5%,IF(YEAR(Import.DataBase)=2025,3.6%,IF(YEAR(Import.DataBase)=2026,2.7%,IF(YEAR(Import.DataBase)=2027,1.8%,0%)))),0%))</f>
        <v>0</v>
      </c>
      <c r="L66" s="623" t="str">
        <f t="shared" ca="1" si="2"/>
        <v>OK</v>
      </c>
      <c r="M66" s="623"/>
      <c r="N66" s="623"/>
      <c r="O66" s="270">
        <f>$S66</f>
        <v>0</v>
      </c>
      <c r="P66" s="270">
        <f>$S66</f>
        <v>0</v>
      </c>
      <c r="Q66" s="270">
        <f>$S66</f>
        <v>0</v>
      </c>
    </row>
    <row r="67" spans="1:17" ht="13.8" hidden="1">
      <c r="A67" s="622" t="s">
        <v>315</v>
      </c>
      <c r="B67" s="622"/>
      <c r="C67" s="622"/>
      <c r="D67" s="622"/>
      <c r="E67" s="622"/>
      <c r="F67" s="622"/>
      <c r="G67" s="622"/>
      <c r="H67" s="622"/>
      <c r="I67" s="271" t="s">
        <v>316</v>
      </c>
      <c r="J67" s="268">
        <f>IF($J55=$A$145,0,ROUND((((1+J59+J60+J61)*(1+J62)*(1+J63)/(1-(J64+J65)))-1),4))</f>
        <v>0</v>
      </c>
      <c r="L67" s="624" t="str">
        <f>IFERROR(IF(AND(OR(J67&gt;=O67,O67="-"),OR(J67&lt;=Q67,Q67="-")),"OK","FORA DO INTERVALO"),IF(J67=0,"OK","Selecione o Tipo de obra"))</f>
        <v>OK</v>
      </c>
      <c r="M67" s="624"/>
      <c r="N67" s="624"/>
      <c r="O67" s="268">
        <f>IF($J55=$A$145,0,VLOOKUP(CONCATENATE($J55,"-",$R67),$C$2:$G$136,3,FALSE))</f>
        <v>0</v>
      </c>
      <c r="P67" s="268">
        <f>IF($J55=$A$145,0,VLOOKUP(CONCATENATE($J55,"-",$R67),$C$2:$G$136,4,FALSE))</f>
        <v>0</v>
      </c>
      <c r="Q67" s="268">
        <f>IF($J55=$A$145,0,VLOOKUP(CONCATENATE($J55,"-",$R67),$C$2:$G$136,5,FALSE))</f>
        <v>0</v>
      </c>
    </row>
    <row r="68" spans="1:17" ht="13.8" hidden="1">
      <c r="A68" s="625" t="s">
        <v>317</v>
      </c>
      <c r="B68" s="625"/>
      <c r="C68" s="625"/>
      <c r="D68" s="625"/>
      <c r="E68" s="625"/>
      <c r="F68" s="625"/>
      <c r="G68" s="625"/>
      <c r="H68" s="625"/>
      <c r="I68" s="272" t="s">
        <v>318</v>
      </c>
      <c r="J68" s="273">
        <f>IF($J55=$A$145,0,ROUND((((1+J59+J60+J61)*(1+J62)*(1+J63)/(1-(J64+J65+J66)))-1),4))</f>
        <v>0</v>
      </c>
    </row>
    <row r="69" spans="1:17" hidden="1">
      <c r="A69" s="259"/>
      <c r="B69" s="259"/>
      <c r="C69" s="259"/>
      <c r="D69" s="259"/>
      <c r="E69" s="259"/>
      <c r="F69" s="259"/>
      <c r="G69" s="259"/>
      <c r="H69" s="259"/>
      <c r="I69" s="259"/>
      <c r="J69" s="259"/>
    </row>
    <row r="70" spans="1:17" ht="15.6" hidden="1">
      <c r="A70" s="277" t="str">
        <f>IF(L67&lt;&gt;"ok","X","")</f>
        <v/>
      </c>
      <c r="B70" s="626" t="str">
        <f>IF(L67&lt;&gt;"ok","Anexo: Relatório Técnico Circunstanciado justificando a adoção do percentual de cada parcela do BDI.","")</f>
        <v/>
      </c>
      <c r="C70" s="626"/>
      <c r="D70" s="626"/>
      <c r="E70" s="626"/>
      <c r="F70" s="626"/>
      <c r="G70" s="626"/>
      <c r="H70" s="626"/>
      <c r="I70" s="626"/>
      <c r="J70" s="626"/>
    </row>
    <row r="71" spans="1:17" hidden="1">
      <c r="A71" s="259"/>
      <c r="B71" s="259"/>
      <c r="C71" s="259"/>
      <c r="D71" s="259"/>
      <c r="E71" s="259"/>
      <c r="F71" s="259"/>
      <c r="G71" s="259"/>
      <c r="H71" s="259"/>
      <c r="I71" s="259"/>
      <c r="J71" s="259"/>
    </row>
    <row r="72" spans="1:17" hidden="1">
      <c r="A72" s="617" t="s">
        <v>319</v>
      </c>
      <c r="B72" s="617"/>
      <c r="C72" s="617"/>
      <c r="D72" s="617"/>
      <c r="E72" s="617"/>
      <c r="F72" s="617"/>
      <c r="G72" s="617"/>
      <c r="H72" s="617"/>
      <c r="I72" s="617"/>
      <c r="J72" s="617"/>
    </row>
    <row r="73" spans="1:17" ht="15.6" hidden="1">
      <c r="A73" s="278"/>
      <c r="B73" s="278"/>
      <c r="C73" s="278"/>
      <c r="D73" s="618" t="s">
        <v>320</v>
      </c>
      <c r="E73" s="619" t="str">
        <f>IF($J55=$A$146,"(1+K1+K2)*(1+K3)","(1+AC + S + R + G)*(1 + DF)*(1+L)")</f>
        <v>(1+K1+K2)*(1+K3)</v>
      </c>
      <c r="F73" s="619"/>
      <c r="G73" s="619"/>
      <c r="H73" s="620" t="s">
        <v>322</v>
      </c>
      <c r="I73" s="278"/>
      <c r="J73" s="278"/>
    </row>
    <row r="74" spans="1:17" ht="15.6" hidden="1">
      <c r="A74" s="278"/>
      <c r="B74" s="278"/>
      <c r="C74" s="278"/>
      <c r="D74" s="618"/>
      <c r="E74" s="621" t="s">
        <v>323</v>
      </c>
      <c r="F74" s="621"/>
      <c r="G74" s="621"/>
      <c r="H74" s="620"/>
      <c r="I74" s="278"/>
      <c r="J74" s="278"/>
    </row>
    <row r="75" spans="1:17" ht="15.6" hidden="1">
      <c r="A75" s="278"/>
      <c r="B75" s="278"/>
      <c r="C75" s="278"/>
      <c r="D75" s="279"/>
      <c r="E75" s="282"/>
      <c r="F75" s="282"/>
      <c r="G75" s="282"/>
      <c r="H75" s="280"/>
      <c r="I75" s="278"/>
      <c r="J75" s="278"/>
    </row>
    <row r="76" spans="1:17" hidden="1">
      <c r="A76" s="61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0%, com a respectiva alíquota de 0%.</v>
      </c>
      <c r="B76" s="611"/>
      <c r="C76" s="611"/>
      <c r="D76" s="611"/>
      <c r="E76" s="611"/>
      <c r="F76" s="611"/>
      <c r="G76" s="611"/>
      <c r="H76" s="611"/>
      <c r="I76" s="611"/>
      <c r="J76" s="611"/>
    </row>
    <row r="77" spans="1:17" hidden="1">
      <c r="A77" s="259"/>
      <c r="B77" s="259"/>
      <c r="C77" s="259"/>
      <c r="D77" s="259"/>
      <c r="E77" s="259"/>
      <c r="F77" s="259"/>
      <c r="G77" s="259"/>
      <c r="H77" s="259"/>
      <c r="I77" s="259"/>
      <c r="J77" s="259"/>
    </row>
    <row r="78" spans="1:17" hidden="1">
      <c r="A78" s="611" t="e">
        <f ca="1">CONCATENATE("Declaro para os devidos fins que o regime de Contribuição Previdenciária sobre a Receita Bruta adotado para elaboração do orçamento foi ",IF(DESONERACAO="Sim","COM","SEM")," Desoneração, e que esta é a alternativa mais adequada para a Administração Pública.")</f>
        <v>#VALUE!</v>
      </c>
      <c r="B78" s="611"/>
      <c r="C78" s="611"/>
      <c r="D78" s="611"/>
      <c r="E78" s="611"/>
      <c r="F78" s="611"/>
      <c r="G78" s="611"/>
      <c r="H78" s="611"/>
      <c r="I78" s="611"/>
      <c r="J78" s="611"/>
    </row>
    <row r="79" spans="1:17" hidden="1">
      <c r="A79" s="259"/>
      <c r="B79" s="259"/>
      <c r="C79" s="259"/>
      <c r="D79" s="259"/>
      <c r="E79" s="259"/>
      <c r="F79" s="259"/>
      <c r="G79" s="259"/>
      <c r="H79" s="259"/>
      <c r="I79" s="259"/>
      <c r="J79" s="259"/>
    </row>
    <row r="80" spans="1:17" hidden="1">
      <c r="A80" s="259" t="s">
        <v>324</v>
      </c>
      <c r="B80" s="259"/>
      <c r="C80" s="259"/>
      <c r="D80" s="259"/>
      <c r="E80" s="259"/>
      <c r="F80" s="259"/>
      <c r="G80" s="259"/>
      <c r="H80" s="259"/>
      <c r="I80" s="259"/>
      <c r="J80" s="259"/>
    </row>
    <row r="81" spans="1:12" hidden="1">
      <c r="A81" s="612"/>
      <c r="B81" s="612"/>
      <c r="C81" s="612"/>
      <c r="D81" s="612"/>
      <c r="E81" s="612"/>
      <c r="F81" s="612"/>
      <c r="G81" s="612"/>
      <c r="H81" s="612"/>
      <c r="I81" s="612"/>
      <c r="J81" s="612"/>
    </row>
    <row r="82" spans="1:12" hidden="1">
      <c r="A82" s="259"/>
      <c r="B82" s="259"/>
      <c r="C82" s="259"/>
      <c r="D82" s="259"/>
      <c r="E82" s="259"/>
      <c r="F82" s="259"/>
      <c r="G82" s="259"/>
      <c r="H82" s="259"/>
      <c r="I82" s="259"/>
      <c r="J82" s="259"/>
    </row>
    <row r="83" spans="1:12" hidden="1">
      <c r="A83" s="613" t="str">
        <f>Import.Município</f>
        <v>ARACITABA</v>
      </c>
      <c r="B83" s="613"/>
      <c r="C83" s="613"/>
      <c r="D83" s="613"/>
      <c r="E83" s="259"/>
      <c r="F83" s="259"/>
      <c r="G83" s="614">
        <f>[3]DADOS!$C$25</f>
        <v>45957</v>
      </c>
      <c r="H83" s="614"/>
      <c r="I83" s="614"/>
      <c r="J83" s="614"/>
    </row>
    <row r="84" spans="1:12" hidden="1">
      <c r="A84" s="615" t="s">
        <v>325</v>
      </c>
      <c r="B84" s="615"/>
      <c r="C84" s="615"/>
      <c r="D84" s="615"/>
      <c r="E84" s="259"/>
      <c r="F84" s="285"/>
      <c r="G84" s="286" t="s">
        <v>326</v>
      </c>
      <c r="H84" s="287"/>
      <c r="I84" s="287"/>
      <c r="J84" s="287"/>
    </row>
    <row r="85" spans="1:12" hidden="1">
      <c r="A85" s="259"/>
      <c r="B85" s="259"/>
      <c r="C85" s="259"/>
      <c r="D85" s="259"/>
      <c r="E85" s="259"/>
      <c r="F85" s="259"/>
      <c r="G85" s="259"/>
      <c r="H85" s="259"/>
      <c r="I85" s="259"/>
      <c r="J85" s="259"/>
    </row>
    <row r="86" spans="1:12" ht="13.8" hidden="1">
      <c r="A86" s="616"/>
      <c r="B86" s="616"/>
      <c r="C86" s="616"/>
      <c r="D86" s="616"/>
      <c r="E86" s="288"/>
      <c r="F86" s="259"/>
      <c r="G86" s="259"/>
      <c r="H86" s="259"/>
      <c r="I86" s="259"/>
      <c r="J86" s="259"/>
    </row>
    <row r="87" spans="1:12" hidden="1">
      <c r="A87" s="610" t="s">
        <v>327</v>
      </c>
      <c r="B87" s="610"/>
      <c r="C87" s="610"/>
      <c r="D87" s="610"/>
      <c r="E87" s="259"/>
      <c r="F87" s="259"/>
      <c r="G87" s="259"/>
      <c r="H87" s="259"/>
      <c r="I87" s="259"/>
      <c r="J87" s="259"/>
    </row>
    <row r="88" spans="1:12" ht="13.8" hidden="1">
      <c r="A88" s="289" t="s">
        <v>328</v>
      </c>
      <c r="B88" s="290" t="str">
        <f t="array" ref="B88:B90">Import.RespOrçamento</f>
        <v>PRISCILA CRISTINA DE PAULA NETO</v>
      </c>
      <c r="C88" s="291"/>
      <c r="D88" s="291"/>
      <c r="E88" s="288"/>
      <c r="F88" s="259"/>
      <c r="G88" s="259"/>
      <c r="H88" s="259"/>
      <c r="I88" s="259"/>
      <c r="J88" s="259"/>
    </row>
    <row r="89" spans="1:12" ht="13.8" hidden="1">
      <c r="A89" s="289" t="s">
        <v>329</v>
      </c>
      <c r="B89" s="290" t="str">
        <v>142.702/D</v>
      </c>
      <c r="C89" s="291"/>
      <c r="D89" s="291"/>
      <c r="E89" s="288"/>
      <c r="F89" s="259"/>
      <c r="G89" s="259"/>
      <c r="H89" s="259"/>
      <c r="I89" s="259"/>
      <c r="J89" s="259"/>
    </row>
    <row r="90" spans="1:12" ht="13.8" hidden="1">
      <c r="A90" s="289" t="s">
        <v>330</v>
      </c>
      <c r="B90" s="290" t="str">
        <v>MG20254432279</v>
      </c>
      <c r="C90" s="291"/>
      <c r="D90" s="291"/>
      <c r="E90" s="288"/>
      <c r="F90" s="259"/>
      <c r="G90" s="259"/>
      <c r="H90" s="259"/>
      <c r="I90" s="259"/>
      <c r="J90" s="259"/>
    </row>
    <row r="91" spans="1:12" ht="13.8" hidden="1">
      <c r="A91" s="289"/>
      <c r="B91" s="297"/>
      <c r="C91" s="291"/>
      <c r="D91" s="291"/>
      <c r="E91" s="288"/>
      <c r="F91" s="259"/>
      <c r="G91" s="259"/>
      <c r="H91" s="259"/>
      <c r="I91" s="259"/>
      <c r="J91" s="259"/>
    </row>
    <row r="92" spans="1:12" ht="15.6" hidden="1">
      <c r="A92" s="628" t="s">
        <v>333</v>
      </c>
      <c r="B92" s="628"/>
      <c r="C92" s="628"/>
      <c r="D92" s="628"/>
      <c r="E92" s="628"/>
      <c r="F92" s="628"/>
      <c r="G92" s="628"/>
      <c r="H92" s="628"/>
      <c r="I92" s="628"/>
      <c r="J92" s="628"/>
      <c r="L92" s="292" t="e">
        <f>IF(COUNTIF([3]ORÇAMENTO!$V$15:$V$245,BDI_3.Título)=0,"",IF(OR(Import.BDI.Tipo3="(SELECIONAR)",Import.BDI.Tipo3="",L95&lt;&gt;"",AND($J95&lt;&gt;$A$145,OR(J99="",J100="",AND($J95&lt;&gt;$A$146,OR(J101="",J102="")),J103="",J104=""))),"Falta preencher o BDI 3",""))</f>
        <v>#VALUE!</v>
      </c>
    </row>
    <row r="93" spans="1:12" hidden="1">
      <c r="A93" s="259"/>
      <c r="B93" s="259"/>
      <c r="C93" s="259"/>
      <c r="D93" s="259"/>
      <c r="E93" s="259"/>
      <c r="F93" s="259"/>
      <c r="G93" s="259"/>
      <c r="H93" s="259"/>
      <c r="I93" s="259"/>
      <c r="J93" s="259"/>
    </row>
    <row r="94" spans="1:12" hidden="1">
      <c r="A94" s="629" t="s">
        <v>185</v>
      </c>
      <c r="B94" s="629"/>
      <c r="C94" s="629"/>
      <c r="D94" s="629"/>
      <c r="E94" s="629"/>
      <c r="F94" s="629"/>
      <c r="G94" s="629"/>
      <c r="H94" s="629"/>
      <c r="I94" s="629"/>
      <c r="J94" s="629"/>
    </row>
    <row r="95" spans="1:12" ht="13.8" hidden="1">
      <c r="A95" s="630" t="s">
        <v>332</v>
      </c>
      <c r="B95" s="630"/>
      <c r="C95" s="630"/>
      <c r="D95" s="630"/>
      <c r="E95" s="630"/>
      <c r="F95" s="630"/>
      <c r="G95" s="630"/>
      <c r="H95" s="630"/>
      <c r="I95" s="630"/>
      <c r="J95" s="630"/>
      <c r="K95" s="293" t="e">
        <f>IF(L95="","","◄")</f>
        <v>#VALUE!</v>
      </c>
      <c r="L95" s="294" t="e">
        <f>IF(AND(OR(J107&gt;0,COUNTIF([3]ORÇAMENTO!$V$15:$V$245,BDI_3.Título)&gt;0),OR(Import.BDI.Tipo3="(SELECIONAR)",Import.BDI.Tipo3="")),"Selecione o Tipo de obra","")</f>
        <v>#VALUE!</v>
      </c>
    </row>
    <row r="96" spans="1:12" hidden="1">
      <c r="A96" s="259"/>
      <c r="B96" s="259"/>
      <c r="C96" s="259"/>
      <c r="D96" s="259"/>
      <c r="E96" s="259"/>
      <c r="F96" s="259"/>
      <c r="G96" s="259"/>
      <c r="H96" s="259"/>
      <c r="I96" s="259"/>
      <c r="J96" s="259"/>
    </row>
    <row r="97" spans="1:17" hidden="1">
      <c r="A97" s="631" t="s">
        <v>294</v>
      </c>
      <c r="B97" s="631"/>
      <c r="C97" s="631"/>
      <c r="D97" s="631"/>
      <c r="E97" s="631"/>
      <c r="F97" s="631"/>
      <c r="G97" s="631"/>
      <c r="H97" s="631"/>
      <c r="I97" s="631" t="s">
        <v>295</v>
      </c>
      <c r="J97" s="624" t="s">
        <v>296</v>
      </c>
      <c r="L97" s="624" t="s">
        <v>297</v>
      </c>
      <c r="M97" s="624"/>
      <c r="N97" s="624"/>
      <c r="O97" s="627" t="s">
        <v>298</v>
      </c>
      <c r="P97" s="627" t="s">
        <v>299</v>
      </c>
      <c r="Q97" s="627" t="s">
        <v>300</v>
      </c>
    </row>
    <row r="98" spans="1:17" hidden="1">
      <c r="A98" s="631"/>
      <c r="B98" s="631"/>
      <c r="C98" s="631"/>
      <c r="D98" s="631"/>
      <c r="E98" s="631"/>
      <c r="F98" s="631"/>
      <c r="G98" s="631"/>
      <c r="H98" s="631"/>
      <c r="I98" s="631"/>
      <c r="J98" s="624"/>
      <c r="L98" s="624"/>
      <c r="M98" s="624"/>
      <c r="N98" s="624"/>
      <c r="O98" s="627"/>
      <c r="P98" s="627"/>
      <c r="Q98" s="627"/>
    </row>
    <row r="99" spans="1:17" ht="13.8" hidden="1">
      <c r="A99" s="622" t="str">
        <f>IF($J$17=$A$146,"Encargos Sociais incidentes sobre a mão de obra","Administração Central")</f>
        <v>Encargos Sociais incidentes sobre a mão de obra</v>
      </c>
      <c r="B99" s="622"/>
      <c r="C99" s="622"/>
      <c r="D99" s="622"/>
      <c r="E99" s="622"/>
      <c r="F99" s="622"/>
      <c r="G99" s="622"/>
      <c r="H99" s="622"/>
      <c r="I99" s="267" t="str">
        <f>IF($J95=$A$146,"K1","AC")</f>
        <v>K1</v>
      </c>
      <c r="J99" s="295"/>
      <c r="K99" s="296" t="str">
        <f>IF(AND($U$94&lt;&gt;"",$U$97="",I99&lt;&gt;"",J99=""),"◄","")</f>
        <v/>
      </c>
      <c r="L99" s="623" t="str">
        <f>IFERROR(IF(K99="◄","FALTA PREENCHER",IF(AND(OR(J99&gt;=O99,O99="-"),OR(J99&lt;=Q99,Q99="-")),"OK","FORA DO INTERVALO")),"-")</f>
        <v>-</v>
      </c>
      <c r="M99" s="623"/>
      <c r="N99" s="623"/>
      <c r="O99" s="268" t="e">
        <f>VLOOKUP(CONCATENATE(A95,"-",I99),$C$2:$G$136,3,FALSE)</f>
        <v>#N/A</v>
      </c>
      <c r="P99" s="268" t="e">
        <f>VLOOKUP(CONCATENATE(A95,"-",I99),$C$2:$G$136,4,FALSE)</f>
        <v>#N/A</v>
      </c>
      <c r="Q99" s="268" t="e">
        <f>VLOOKUP(CONCATENATE(A95,"-",I99),$C$2:$G$136,5,FALSE)</f>
        <v>#N/A</v>
      </c>
    </row>
    <row r="100" spans="1:17" ht="13.8" hidden="1">
      <c r="A100" s="622" t="str">
        <f>IF($J$17=$A$146,"Administração Central da empresa ou consultoria - overhead","Seguro e Garantia")</f>
        <v>Administração Central da empresa ou consultoria - overhead</v>
      </c>
      <c r="B100" s="622"/>
      <c r="C100" s="622"/>
      <c r="D100" s="622"/>
      <c r="E100" s="622"/>
      <c r="F100" s="622"/>
      <c r="G100" s="622"/>
      <c r="H100" s="622"/>
      <c r="I100" s="267" t="str">
        <f>IF($J95=$A$146,"K2","SG")</f>
        <v>K2</v>
      </c>
      <c r="J100" s="295"/>
      <c r="K100" s="296" t="str">
        <f t="shared" ref="K100:K104" si="3">IF(AND($U$94&lt;&gt;"",$U$97="",I100&lt;&gt;"",J100=""),"◄","")</f>
        <v/>
      </c>
      <c r="L100" s="623" t="str">
        <f t="shared" ref="L100:L106" si="4">IFERROR(IF(K100="◄","FALTA PREENCHER",IF(AND(OR(J100&gt;=O100,O100="-"),OR(J100&lt;=Q100,Q100="-")),"OK","FORA DO INTERVALO")),"-")</f>
        <v>-</v>
      </c>
      <c r="M100" s="623"/>
      <c r="N100" s="623"/>
      <c r="O100" s="268" t="e">
        <f>VLOOKUP(CONCATENATE(A95,"-",I100),$C$2:$G$136,3,FALSE)</f>
        <v>#N/A</v>
      </c>
      <c r="P100" s="268" t="e">
        <f>VLOOKUP(CONCATENATE(A95,"-",I100),$C$2:$G$136,4,FALSE)</f>
        <v>#N/A</v>
      </c>
      <c r="Q100" s="268" t="e">
        <f>VLOOKUP(CONCATENATE(A95,"-",I100),$C$2:$G$136,5,FALSE)</f>
        <v>#N/A</v>
      </c>
    </row>
    <row r="101" spans="1:17" ht="13.8" hidden="1">
      <c r="A101" s="622" t="s">
        <v>201</v>
      </c>
      <c r="B101" s="622"/>
      <c r="C101" s="622"/>
      <c r="D101" s="622"/>
      <c r="E101" s="622"/>
      <c r="F101" s="622"/>
      <c r="G101" s="622"/>
      <c r="H101" s="622"/>
      <c r="I101" s="267" t="str">
        <f>IF($J95=$A$146,"","R")</f>
        <v/>
      </c>
      <c r="J101" s="295"/>
      <c r="K101" s="296" t="str">
        <f t="shared" si="3"/>
        <v/>
      </c>
      <c r="L101" s="623" t="str">
        <f t="shared" si="4"/>
        <v>-</v>
      </c>
      <c r="M101" s="623"/>
      <c r="N101" s="623"/>
      <c r="O101" s="268" t="e">
        <f>VLOOKUP(CONCATENATE(A95,"-",I101),$C$2:$G$136,3,FALSE)</f>
        <v>#N/A</v>
      </c>
      <c r="P101" s="268" t="e">
        <f>VLOOKUP(CONCATENATE(A95,"-",I101),$C$2:$G$136,4,FALSE)</f>
        <v>#N/A</v>
      </c>
      <c r="Q101" s="268" t="e">
        <f>VLOOKUP(CONCATENATE(A95,"-",I101),$C$2:$G$136,5,FALSE)</f>
        <v>#N/A</v>
      </c>
    </row>
    <row r="102" spans="1:17" ht="13.8" hidden="1">
      <c r="A102" s="622" t="s">
        <v>202</v>
      </c>
      <c r="B102" s="622"/>
      <c r="C102" s="622"/>
      <c r="D102" s="622"/>
      <c r="E102" s="622"/>
      <c r="F102" s="622"/>
      <c r="G102" s="622"/>
      <c r="H102" s="622"/>
      <c r="I102" s="267" t="str">
        <f>IF($J95=$A$146,"","DF")</f>
        <v/>
      </c>
      <c r="J102" s="295"/>
      <c r="K102" s="296" t="str">
        <f t="shared" si="3"/>
        <v/>
      </c>
      <c r="L102" s="623" t="str">
        <f t="shared" si="4"/>
        <v>-</v>
      </c>
      <c r="M102" s="623"/>
      <c r="N102" s="623"/>
      <c r="O102" s="268" t="e">
        <f>VLOOKUP(CONCATENATE(A95,"-",I102),$C$2:$G$136,3,FALSE)</f>
        <v>#N/A</v>
      </c>
      <c r="P102" s="268" t="e">
        <f>VLOOKUP(CONCATENATE(A95,"-",I102),$C$2:$G$136,4,FALSE)</f>
        <v>#N/A</v>
      </c>
      <c r="Q102" s="268" t="e">
        <f>VLOOKUP(CONCATENATE(A95,"-",I102),$C$2:$G$136,5,FALSE)</f>
        <v>#N/A</v>
      </c>
    </row>
    <row r="103" spans="1:17" ht="13.8" hidden="1">
      <c r="A103" s="622" t="str">
        <f>IF($J$17=$A$146,"Margem bruta da empresa de consultoria","Lucro")</f>
        <v>Margem bruta da empresa de consultoria</v>
      </c>
      <c r="B103" s="622"/>
      <c r="C103" s="622"/>
      <c r="D103" s="622"/>
      <c r="E103" s="622"/>
      <c r="F103" s="622"/>
      <c r="G103" s="622"/>
      <c r="H103" s="622"/>
      <c r="I103" s="267" t="str">
        <f>IF($J95=$A$146,"K3","L")</f>
        <v>K3</v>
      </c>
      <c r="J103" s="295"/>
      <c r="K103" s="296" t="str">
        <f t="shared" si="3"/>
        <v/>
      </c>
      <c r="L103" s="623" t="str">
        <f t="shared" si="4"/>
        <v>-</v>
      </c>
      <c r="M103" s="623"/>
      <c r="N103" s="623"/>
      <c r="O103" s="268" t="e">
        <f>VLOOKUP(CONCATENATE(A95,"-",I103),$C$2:$G$136,3,FALSE)</f>
        <v>#N/A</v>
      </c>
      <c r="P103" s="268" t="e">
        <f>VLOOKUP(CONCATENATE(A95,"-",I103),$C$2:$G$136,4,FALSE)</f>
        <v>#N/A</v>
      </c>
      <c r="Q103" s="268" t="e">
        <f>VLOOKUP(CONCATENATE(A95,"-",I103),$C$2:$G$136,5,FALSE)</f>
        <v>#N/A</v>
      </c>
    </row>
    <row r="104" spans="1:17" ht="13.8" hidden="1">
      <c r="A104" s="622" t="s">
        <v>310</v>
      </c>
      <c r="B104" s="622"/>
      <c r="C104" s="622"/>
      <c r="D104" s="622"/>
      <c r="E104" s="622"/>
      <c r="F104" s="622"/>
      <c r="G104" s="622"/>
      <c r="H104" s="622"/>
      <c r="I104" s="267" t="s">
        <v>311</v>
      </c>
      <c r="J104" s="295"/>
      <c r="K104" s="296" t="str">
        <f t="shared" si="3"/>
        <v/>
      </c>
      <c r="L104" s="623" t="str">
        <f t="shared" si="4"/>
        <v>OK</v>
      </c>
      <c r="M104" s="623"/>
      <c r="N104" s="623"/>
      <c r="O104" s="268" t="str">
        <f>P104</f>
        <v>-</v>
      </c>
      <c r="P104" s="268" t="str">
        <f>IF($J95=$A$145,"-",3.65%)</f>
        <v>-</v>
      </c>
      <c r="Q104" s="268" t="str">
        <f>P104</f>
        <v>-</v>
      </c>
    </row>
    <row r="105" spans="1:17" ht="13.8" hidden="1">
      <c r="A105" s="622" t="s">
        <v>312</v>
      </c>
      <c r="B105" s="622"/>
      <c r="C105" s="622"/>
      <c r="D105" s="622"/>
      <c r="E105" s="622"/>
      <c r="F105" s="622"/>
      <c r="G105" s="622"/>
      <c r="H105" s="622"/>
      <c r="I105" s="267" t="s">
        <v>207</v>
      </c>
      <c r="J105" s="268">
        <f ca="1">IF(AND($J95&lt;&gt;$A$145,COUNTA(OFFSET(J98,1,0,6))&gt;0),$R$11*$R$10,0)</f>
        <v>0</v>
      </c>
      <c r="L105" s="623" t="str">
        <f t="shared" ca="1" si="4"/>
        <v>OK</v>
      </c>
      <c r="M105" s="623"/>
      <c r="N105" s="623"/>
      <c r="O105" s="268">
        <v>0</v>
      </c>
      <c r="P105" s="268">
        <v>2.5000000000000001E-2</v>
      </c>
      <c r="Q105" s="268">
        <v>0.05</v>
      </c>
    </row>
    <row r="106" spans="1:17" ht="13.8" hidden="1">
      <c r="A106" s="622" t="s">
        <v>313</v>
      </c>
      <c r="B106" s="622"/>
      <c r="C106" s="622"/>
      <c r="D106" s="622"/>
      <c r="E106" s="622"/>
      <c r="F106" s="622"/>
      <c r="G106" s="622"/>
      <c r="H106" s="622"/>
      <c r="I106" s="267" t="s">
        <v>314</v>
      </c>
      <c r="J106" s="268" cm="1">
        <f t="array" aca="1" ref="J106" ca="1">IF(BDI.Opcao&lt;&gt;"Desonerado",0,IF(AND($J95&lt;&gt;$A$145,COUNTA(OFFSET(J98,1,0,6))&gt;0),IF(YEAR(Import.DataBase)&lt;2025,4.5%,IF(YEAR(Import.DataBase)=2025,3.6%,IF(YEAR(Import.DataBase)=2026,2.7%,IF(YEAR(Import.DataBase)=2027,1.8%,0%)))),0%))</f>
        <v>0</v>
      </c>
      <c r="L106" s="623" t="str">
        <f t="shared" ca="1" si="4"/>
        <v>OK</v>
      </c>
      <c r="M106" s="623"/>
      <c r="N106" s="623"/>
      <c r="O106" s="270">
        <f>$S106</f>
        <v>0</v>
      </c>
      <c r="P106" s="270">
        <f>$S106</f>
        <v>0</v>
      </c>
      <c r="Q106" s="270">
        <f>$S106</f>
        <v>0</v>
      </c>
    </row>
    <row r="107" spans="1:17" ht="13.8" hidden="1">
      <c r="A107" s="622" t="s">
        <v>315</v>
      </c>
      <c r="B107" s="622"/>
      <c r="C107" s="622"/>
      <c r="D107" s="622"/>
      <c r="E107" s="622"/>
      <c r="F107" s="622"/>
      <c r="G107" s="622"/>
      <c r="H107" s="622"/>
      <c r="I107" s="271" t="s">
        <v>316</v>
      </c>
      <c r="J107" s="268">
        <f>IF($J95=$A$145,0,ROUND((((1+J99+J100+J101)*(1+J102)*(1+J103)/(1-(J104+J105)))-1),4))</f>
        <v>0</v>
      </c>
      <c r="L107" s="624" t="str">
        <f>IFERROR(IF(AND(OR(J107&gt;=O107,O107="-"),OR(J107&lt;=Q107,Q107="-")),"OK","FORA DO INTERVALO"),IF(J107=0,"OK","Selecione o Tipo de obra"))</f>
        <v>OK</v>
      </c>
      <c r="M107" s="624"/>
      <c r="N107" s="624"/>
      <c r="O107" s="268">
        <f>IF($J95=$A$145,0,VLOOKUP(CONCATENATE($J95,"-",$R107),$C$2:$G$136,3,FALSE))</f>
        <v>0</v>
      </c>
      <c r="P107" s="268">
        <f>IF($J95=$A$145,0,VLOOKUP(CONCATENATE($J95,"-",$R107),$C$2:$G$136,4,FALSE))</f>
        <v>0</v>
      </c>
      <c r="Q107" s="268">
        <f>IF($J95=$A$145,0,VLOOKUP(CONCATENATE($J95,"-",$R107),$C$2:$G$136,5,FALSE))</f>
        <v>0</v>
      </c>
    </row>
    <row r="108" spans="1:17" ht="13.8" hidden="1">
      <c r="A108" s="625" t="s">
        <v>317</v>
      </c>
      <c r="B108" s="625"/>
      <c r="C108" s="625"/>
      <c r="D108" s="625"/>
      <c r="E108" s="625"/>
      <c r="F108" s="625"/>
      <c r="G108" s="625"/>
      <c r="H108" s="625"/>
      <c r="I108" s="272" t="s">
        <v>318</v>
      </c>
      <c r="J108" s="273">
        <f>IF($J95=$A$145,0,ROUND((((1+J99+J100+J101)*(1+J102)*(1+J103)/(1-(J104+J105+J106)))-1),4))</f>
        <v>0</v>
      </c>
    </row>
    <row r="109" spans="1:17" hidden="1">
      <c r="A109" s="259"/>
      <c r="B109" s="259"/>
      <c r="C109" s="259"/>
      <c r="D109" s="259"/>
      <c r="E109" s="259"/>
      <c r="F109" s="259"/>
      <c r="G109" s="259"/>
      <c r="H109" s="259"/>
      <c r="I109" s="259"/>
      <c r="J109" s="259"/>
    </row>
    <row r="110" spans="1:17" ht="15.6" hidden="1">
      <c r="A110" s="277" t="str">
        <f>IF(L107&lt;&gt;"ok","X","")</f>
        <v/>
      </c>
      <c r="B110" s="626" t="str">
        <f>IF(L107&lt;&gt;"ok","Anexo: Relatório Técnico Circunstanciado justificando a adoção do percentual de cada parcela do BDI.","")</f>
        <v/>
      </c>
      <c r="C110" s="626"/>
      <c r="D110" s="626"/>
      <c r="E110" s="626"/>
      <c r="F110" s="626"/>
      <c r="G110" s="626"/>
      <c r="H110" s="626"/>
      <c r="I110" s="626"/>
      <c r="J110" s="626"/>
    </row>
    <row r="111" spans="1:17" hidden="1">
      <c r="A111" s="259"/>
      <c r="B111" s="259"/>
      <c r="C111" s="259"/>
      <c r="D111" s="259"/>
      <c r="E111" s="259"/>
      <c r="F111" s="259"/>
      <c r="G111" s="259"/>
      <c r="H111" s="259"/>
      <c r="I111" s="259"/>
      <c r="J111" s="259"/>
    </row>
    <row r="112" spans="1:17" hidden="1">
      <c r="A112" s="617" t="s">
        <v>319</v>
      </c>
      <c r="B112" s="617"/>
      <c r="C112" s="617"/>
      <c r="D112" s="617"/>
      <c r="E112" s="617"/>
      <c r="F112" s="617"/>
      <c r="G112" s="617"/>
      <c r="H112" s="617"/>
      <c r="I112" s="617"/>
      <c r="J112" s="617"/>
    </row>
    <row r="113" spans="1:10" ht="15.6" hidden="1">
      <c r="A113" s="278"/>
      <c r="B113" s="278"/>
      <c r="C113" s="278"/>
      <c r="D113" s="618" t="s">
        <v>320</v>
      </c>
      <c r="E113" s="619" t="str">
        <f>IF($J95=$A$146,"(1+K1+K2)*(1+K3)","(1+AC + S + R + G)*(1 + DF)*(1+L)")</f>
        <v>(1+K1+K2)*(1+K3)</v>
      </c>
      <c r="F113" s="619"/>
      <c r="G113" s="619"/>
      <c r="H113" s="620" t="s">
        <v>322</v>
      </c>
      <c r="I113" s="278"/>
      <c r="J113" s="278"/>
    </row>
    <row r="114" spans="1:10" ht="15.6" hidden="1">
      <c r="A114" s="278"/>
      <c r="B114" s="278"/>
      <c r="C114" s="278"/>
      <c r="D114" s="618"/>
      <c r="E114" s="621" t="s">
        <v>323</v>
      </c>
      <c r="F114" s="621"/>
      <c r="G114" s="621"/>
      <c r="H114" s="620"/>
      <c r="I114" s="278"/>
      <c r="J114" s="278"/>
    </row>
    <row r="115" spans="1:10" ht="15.6" hidden="1">
      <c r="A115" s="278"/>
      <c r="B115" s="278"/>
      <c r="C115" s="278"/>
      <c r="D115" s="279"/>
      <c r="E115" s="282"/>
      <c r="F115" s="282"/>
      <c r="G115" s="282"/>
      <c r="H115" s="280"/>
      <c r="I115" s="278"/>
      <c r="J115" s="278"/>
    </row>
    <row r="116" spans="1:10" hidden="1">
      <c r="A116" s="611" t="str">
        <f>CONCATENATE("Declaro para os devidos fins que, conforme legislação tributária municipal, a base de cálculo deste tipo de obra corresponde à ",$R$10*100,"%, com a respectiva alíquota de ",$R$11*100,"%.")</f>
        <v>Declaro para os devidos fins que, conforme legislação tributária municipal, a base de cálculo deste tipo de obra corresponde à 0%, com a respectiva alíquota de 0%.</v>
      </c>
      <c r="B116" s="611"/>
      <c r="C116" s="611"/>
      <c r="D116" s="611"/>
      <c r="E116" s="611"/>
      <c r="F116" s="611"/>
      <c r="G116" s="611"/>
      <c r="H116" s="611"/>
      <c r="I116" s="611"/>
      <c r="J116" s="611"/>
    </row>
    <row r="117" spans="1:10" hidden="1">
      <c r="A117" s="259"/>
      <c r="B117" s="259"/>
      <c r="C117" s="259"/>
      <c r="D117" s="259"/>
      <c r="E117" s="259"/>
      <c r="F117" s="259"/>
      <c r="G117" s="259"/>
      <c r="H117" s="259"/>
      <c r="I117" s="259"/>
      <c r="J117" s="259"/>
    </row>
    <row r="118" spans="1:10" hidden="1">
      <c r="A118" s="611" t="e">
        <f ca="1">CONCATENATE("Declaro para os devidos fins que o regime de Contribuição Previdenciária sobre a Receita Bruta adotado para elaboração do orçamento foi ",IF(DESONERACAO="Sim","COM","SEM")," Desoneração, e que esta é a alternativa mais adequada para a Administração Pública.")</f>
        <v>#VALUE!</v>
      </c>
      <c r="B118" s="611"/>
      <c r="C118" s="611"/>
      <c r="D118" s="611"/>
      <c r="E118" s="611"/>
      <c r="F118" s="611"/>
      <c r="G118" s="611"/>
      <c r="H118" s="611"/>
      <c r="I118" s="611"/>
      <c r="J118" s="611"/>
    </row>
    <row r="119" spans="1:10" hidden="1">
      <c r="A119" s="259"/>
      <c r="B119" s="259"/>
      <c r="C119" s="259"/>
      <c r="D119" s="259"/>
      <c r="E119" s="259"/>
      <c r="F119" s="259"/>
      <c r="G119" s="259"/>
      <c r="H119" s="259"/>
      <c r="I119" s="259"/>
      <c r="J119" s="259"/>
    </row>
    <row r="120" spans="1:10" hidden="1">
      <c r="A120" s="259" t="s">
        <v>324</v>
      </c>
      <c r="B120" s="259"/>
      <c r="C120" s="259"/>
      <c r="D120" s="259"/>
      <c r="E120" s="259"/>
      <c r="F120" s="259"/>
      <c r="G120" s="259"/>
      <c r="H120" s="259"/>
      <c r="I120" s="259"/>
      <c r="J120" s="259"/>
    </row>
    <row r="121" spans="1:10" hidden="1">
      <c r="A121" s="612"/>
      <c r="B121" s="612"/>
      <c r="C121" s="612"/>
      <c r="D121" s="612"/>
      <c r="E121" s="612"/>
      <c r="F121" s="612"/>
      <c r="G121" s="612"/>
      <c r="H121" s="612"/>
      <c r="I121" s="612"/>
      <c r="J121" s="612"/>
    </row>
    <row r="122" spans="1:10" hidden="1">
      <c r="A122" s="259"/>
      <c r="B122" s="259"/>
      <c r="C122" s="259"/>
      <c r="D122" s="259"/>
      <c r="E122" s="259"/>
      <c r="F122" s="259"/>
      <c r="G122" s="259"/>
      <c r="H122" s="259"/>
      <c r="I122" s="259"/>
      <c r="J122" s="259"/>
    </row>
    <row r="123" spans="1:10" hidden="1">
      <c r="A123" s="613" t="str">
        <f>Import.Município</f>
        <v>ARACITABA</v>
      </c>
      <c r="B123" s="613"/>
      <c r="C123" s="613"/>
      <c r="D123" s="613"/>
      <c r="E123" s="259"/>
      <c r="F123" s="259"/>
      <c r="G123" s="614">
        <f>[3]DADOS!$C$25</f>
        <v>45957</v>
      </c>
      <c r="H123" s="614"/>
      <c r="I123" s="614"/>
      <c r="J123" s="614"/>
    </row>
    <row r="124" spans="1:10" hidden="1">
      <c r="A124" s="615" t="s">
        <v>325</v>
      </c>
      <c r="B124" s="615"/>
      <c r="C124" s="615"/>
      <c r="D124" s="615"/>
      <c r="E124" s="259"/>
      <c r="F124" s="285"/>
      <c r="G124" s="286" t="s">
        <v>326</v>
      </c>
      <c r="H124" s="287"/>
      <c r="I124" s="287"/>
      <c r="J124" s="287"/>
    </row>
    <row r="125" spans="1:10" hidden="1">
      <c r="A125" s="259"/>
      <c r="B125" s="259"/>
      <c r="C125" s="259"/>
      <c r="D125" s="259"/>
      <c r="E125" s="259"/>
      <c r="F125" s="259"/>
      <c r="G125" s="259"/>
      <c r="H125" s="259"/>
      <c r="I125" s="259"/>
      <c r="J125" s="259"/>
    </row>
    <row r="126" spans="1:10" ht="13.8" hidden="1">
      <c r="A126" s="616"/>
      <c r="B126" s="616"/>
      <c r="C126" s="616"/>
      <c r="D126" s="616"/>
      <c r="E126" s="288"/>
      <c r="F126" s="259"/>
      <c r="G126" s="259"/>
      <c r="H126" s="259"/>
      <c r="I126" s="259"/>
      <c r="J126" s="259"/>
    </row>
    <row r="127" spans="1:10" hidden="1">
      <c r="A127" s="610" t="s">
        <v>327</v>
      </c>
      <c r="B127" s="610"/>
      <c r="C127" s="610"/>
      <c r="D127" s="610"/>
      <c r="E127" s="259"/>
      <c r="F127" s="259"/>
      <c r="G127" s="259"/>
      <c r="H127" s="259"/>
      <c r="I127" s="259"/>
      <c r="J127" s="259"/>
    </row>
    <row r="128" spans="1:10" ht="13.8" hidden="1">
      <c r="A128" s="289" t="s">
        <v>328</v>
      </c>
      <c r="B128" s="290" t="str">
        <f t="array" ref="B128:B130">Import.RespOrçamento</f>
        <v>PRISCILA CRISTINA DE PAULA NETO</v>
      </c>
      <c r="C128" s="291"/>
      <c r="D128" s="291"/>
      <c r="E128" s="288"/>
      <c r="F128" s="259"/>
      <c r="G128" s="259"/>
      <c r="H128" s="259"/>
      <c r="I128" s="259"/>
      <c r="J128" s="259"/>
    </row>
    <row r="129" spans="1:10" ht="13.8" hidden="1">
      <c r="A129" s="289" t="s">
        <v>329</v>
      </c>
      <c r="B129" s="290" t="str">
        <v>142.702/D</v>
      </c>
      <c r="C129" s="291"/>
      <c r="D129" s="291"/>
      <c r="E129" s="288"/>
      <c r="F129" s="259"/>
      <c r="G129" s="259"/>
      <c r="H129" s="259"/>
      <c r="I129" s="259"/>
      <c r="J129" s="259"/>
    </row>
    <row r="130" spans="1:10" ht="13.8" hidden="1">
      <c r="A130" s="289" t="s">
        <v>330</v>
      </c>
      <c r="B130" s="290" t="str">
        <v>MG20254432279</v>
      </c>
      <c r="C130" s="291"/>
      <c r="D130" s="291"/>
      <c r="E130" s="288"/>
      <c r="F130" s="259"/>
      <c r="G130" s="259"/>
      <c r="H130" s="259"/>
      <c r="I130" s="259"/>
      <c r="J130" s="259"/>
    </row>
  </sheetData>
  <mergeCells count="141">
    <mergeCell ref="A7:J7"/>
    <mergeCell ref="A8:J8"/>
    <mergeCell ref="A10:H10"/>
    <mergeCell ref="I10:J10"/>
    <mergeCell ref="A11:H11"/>
    <mergeCell ref="I11:J11"/>
    <mergeCell ref="I1:J1"/>
    <mergeCell ref="I2:J2"/>
    <mergeCell ref="A4:B4"/>
    <mergeCell ref="C4:D4"/>
    <mergeCell ref="E4:J4"/>
    <mergeCell ref="A5:B5"/>
    <mergeCell ref="C5:D5"/>
    <mergeCell ref="E5:J5"/>
    <mergeCell ref="L18:N18"/>
    <mergeCell ref="A20:H20"/>
    <mergeCell ref="L20:N20"/>
    <mergeCell ref="A21:H21"/>
    <mergeCell ref="L21:N21"/>
    <mergeCell ref="A22:H22"/>
    <mergeCell ref="L22:N22"/>
    <mergeCell ref="A13:J13"/>
    <mergeCell ref="A15:J15"/>
    <mergeCell ref="A16:J16"/>
    <mergeCell ref="A18:H19"/>
    <mergeCell ref="I18:I19"/>
    <mergeCell ref="J18:J19"/>
    <mergeCell ref="A26:H26"/>
    <mergeCell ref="L26:N26"/>
    <mergeCell ref="A27:H27"/>
    <mergeCell ref="L27:N27"/>
    <mergeCell ref="A28:H28"/>
    <mergeCell ref="L28:N28"/>
    <mergeCell ref="A23:H23"/>
    <mergeCell ref="L23:N23"/>
    <mergeCell ref="A24:H24"/>
    <mergeCell ref="L24:N24"/>
    <mergeCell ref="A25:H25"/>
    <mergeCell ref="L25:N25"/>
    <mergeCell ref="A38:J38"/>
    <mergeCell ref="A42:J42"/>
    <mergeCell ref="A44:D44"/>
    <mergeCell ref="G44:I44"/>
    <mergeCell ref="A45:D45"/>
    <mergeCell ref="A29:H29"/>
    <mergeCell ref="B31:J31"/>
    <mergeCell ref="A32:H32"/>
    <mergeCell ref="A34:J34"/>
    <mergeCell ref="D35:D36"/>
    <mergeCell ref="E35:G35"/>
    <mergeCell ref="H35:H36"/>
    <mergeCell ref="E36:G36"/>
    <mergeCell ref="Q57:Q58"/>
    <mergeCell ref="A59:H59"/>
    <mergeCell ref="L59:N59"/>
    <mergeCell ref="A47:D47"/>
    <mergeCell ref="A48:D48"/>
    <mergeCell ref="A52:J52"/>
    <mergeCell ref="A54:J54"/>
    <mergeCell ref="A55:J55"/>
    <mergeCell ref="A57:H58"/>
    <mergeCell ref="I57:I58"/>
    <mergeCell ref="J57:J58"/>
    <mergeCell ref="F50:G50"/>
    <mergeCell ref="A60:H60"/>
    <mergeCell ref="L60:N60"/>
    <mergeCell ref="A61:H61"/>
    <mergeCell ref="L61:N61"/>
    <mergeCell ref="A62:H62"/>
    <mergeCell ref="L62:N62"/>
    <mergeCell ref="L57:N58"/>
    <mergeCell ref="O57:O58"/>
    <mergeCell ref="P57:P58"/>
    <mergeCell ref="A66:H66"/>
    <mergeCell ref="L66:N66"/>
    <mergeCell ref="A67:H67"/>
    <mergeCell ref="L67:N67"/>
    <mergeCell ref="A68:H68"/>
    <mergeCell ref="B70:J70"/>
    <mergeCell ref="A63:H63"/>
    <mergeCell ref="L63:N63"/>
    <mergeCell ref="A64:H64"/>
    <mergeCell ref="L64:N64"/>
    <mergeCell ref="A65:H65"/>
    <mergeCell ref="L65:N65"/>
    <mergeCell ref="A78:J78"/>
    <mergeCell ref="A81:J81"/>
    <mergeCell ref="A83:D83"/>
    <mergeCell ref="G83:J83"/>
    <mergeCell ref="A84:D84"/>
    <mergeCell ref="A86:D86"/>
    <mergeCell ref="A72:J72"/>
    <mergeCell ref="D73:D74"/>
    <mergeCell ref="E73:G73"/>
    <mergeCell ref="H73:H74"/>
    <mergeCell ref="E74:G74"/>
    <mergeCell ref="A76:J76"/>
    <mergeCell ref="Q97:Q98"/>
    <mergeCell ref="A99:H99"/>
    <mergeCell ref="L99:N99"/>
    <mergeCell ref="A87:D87"/>
    <mergeCell ref="A92:J92"/>
    <mergeCell ref="A94:J94"/>
    <mergeCell ref="A95:J95"/>
    <mergeCell ref="A97:H98"/>
    <mergeCell ref="I97:I98"/>
    <mergeCell ref="J97:J98"/>
    <mergeCell ref="A100:H100"/>
    <mergeCell ref="L100:N100"/>
    <mergeCell ref="A101:H101"/>
    <mergeCell ref="L101:N101"/>
    <mergeCell ref="A102:H102"/>
    <mergeCell ref="L102:N102"/>
    <mergeCell ref="L97:N98"/>
    <mergeCell ref="O97:O98"/>
    <mergeCell ref="P97:P98"/>
    <mergeCell ref="A106:H106"/>
    <mergeCell ref="L106:N106"/>
    <mergeCell ref="A107:H107"/>
    <mergeCell ref="L107:N107"/>
    <mergeCell ref="A108:H108"/>
    <mergeCell ref="B110:J110"/>
    <mergeCell ref="A103:H103"/>
    <mergeCell ref="L103:N103"/>
    <mergeCell ref="A104:H104"/>
    <mergeCell ref="L104:N104"/>
    <mergeCell ref="A105:H105"/>
    <mergeCell ref="L105:N105"/>
    <mergeCell ref="A127:D127"/>
    <mergeCell ref="A118:J118"/>
    <mergeCell ref="A121:J121"/>
    <mergeCell ref="A123:D123"/>
    <mergeCell ref="G123:J123"/>
    <mergeCell ref="A124:D124"/>
    <mergeCell ref="A126:D126"/>
    <mergeCell ref="A112:J112"/>
    <mergeCell ref="D113:D114"/>
    <mergeCell ref="E113:G113"/>
    <mergeCell ref="H113:H114"/>
    <mergeCell ref="E114:G114"/>
    <mergeCell ref="A116:J116"/>
  </mergeCells>
  <conditionalFormatting sqref="A29:J29">
    <cfRule type="expression" dxfId="12" priority="12" stopIfTrue="1">
      <formula>DESONERACAO="não"</formula>
    </cfRule>
  </conditionalFormatting>
  <conditionalFormatting sqref="A32:J32">
    <cfRule type="expression" dxfId="11" priority="1" stopIfTrue="1">
      <formula>DESONERACAO="não"</formula>
    </cfRule>
  </conditionalFormatting>
  <conditionalFormatting sqref="A61:J62">
    <cfRule type="expression" dxfId="10" priority="7">
      <formula>$J$57=$A$146</formula>
    </cfRule>
  </conditionalFormatting>
  <conditionalFormatting sqref="A68:J68 A108:J108">
    <cfRule type="expression" dxfId="9" priority="8" stopIfTrue="1">
      <formula>DESONERACAO="não"</formula>
    </cfRule>
  </conditionalFormatting>
  <conditionalFormatting sqref="A101:J102">
    <cfRule type="expression" dxfId="8" priority="5">
      <formula>$J$97=$A$146</formula>
    </cfRule>
  </conditionalFormatting>
  <conditionalFormatting sqref="J28">
    <cfRule type="expression" dxfId="7" priority="13" stopIfTrue="1">
      <formula>DESONERACAO="não"</formula>
    </cfRule>
  </conditionalFormatting>
  <conditionalFormatting sqref="J59:J64">
    <cfRule type="expression" dxfId="6" priority="6">
      <formula>$J$57=$A$145</formula>
    </cfRule>
  </conditionalFormatting>
  <conditionalFormatting sqref="J67 J107">
    <cfRule type="expression" dxfId="5" priority="11" stopIfTrue="1">
      <formula>DESONERACAO="não"</formula>
    </cfRule>
  </conditionalFormatting>
  <conditionalFormatting sqref="J99:J104">
    <cfRule type="expression" dxfId="4" priority="4">
      <formula>$J$97=$A$145</formula>
    </cfRule>
  </conditionalFormatting>
  <conditionalFormatting sqref="L59:N66">
    <cfRule type="cellIs" dxfId="3" priority="3" operator="notEqual">
      <formula>"OK"</formula>
    </cfRule>
  </conditionalFormatting>
  <conditionalFormatting sqref="L67:N67 L107:N107">
    <cfRule type="expression" dxfId="2" priority="9" stopIfTrue="1">
      <formula>AND(L67&lt;&gt;"OK",L67&lt;&gt;"-",L67&lt;&gt;"")</formula>
    </cfRule>
    <cfRule type="cellIs" dxfId="1" priority="10" stopIfTrue="1" operator="equal">
      <formula>"OK"</formula>
    </cfRule>
  </conditionalFormatting>
  <conditionalFormatting sqref="L99:N106">
    <cfRule type="cellIs" dxfId="0" priority="2" operator="notEqual">
      <formula>"OK"</formula>
    </cfRule>
  </conditionalFormatting>
  <dataValidations disablePrompts="1" count="6">
    <dataValidation operator="greaterThanOrEqual" allowBlank="1" showErrorMessage="1" errorTitle="Erro de valores" error="Digite um valor igual a 0% ou 2%." sqref="J27 J66 J106" xr:uid="{EAAE6310-90BF-48E9-B575-EF6A8CC86C96}">
      <formula1>0</formula1>
      <formula2>0</formula2>
    </dataValidation>
    <dataValidation type="decimal" allowBlank="1" showErrorMessage="1" errorTitle="Erro de valores" error="Digite um valor entre 0% e 100%" sqref="J59:J64 J99:J104" xr:uid="{2F61DE33-BEA6-4A4D-BFC9-57723AC4A8A6}">
      <formula1>0</formula1>
      <formula2>1</formula2>
    </dataValidation>
    <dataValidation type="decimal" allowBlank="1" showErrorMessage="1" errorTitle="Erro de valores" error="Digite um valor maior do que 0." sqref="J105 J65 J20:J26" xr:uid="{2D233762-50C0-4973-A36B-200B457D8DFB}">
      <formula1>0</formula1>
      <formula2>1</formula2>
    </dataValidation>
    <dataValidation type="decimal" allowBlank="1" showInputMessage="1" showErrorMessage="1" errorTitle="Valor não permitido" error="Digite um percentual entre 2% e 5%." promptTitle="Valores comuns:" prompt="Entre 2 e 5%." sqref="I11:J11" xr:uid="{1EC21BC8-08CE-41C9-BCDB-D054238396EC}">
      <formula1>0.02</formula1>
      <formula2>0.05</formula2>
    </dataValidation>
    <dataValidation type="decimal" allowBlank="1" showInputMessage="1" showErrorMessage="1" errorTitle="Valor não permitido" error="Digite um percentual entre 0% e 100%." promptTitle="Valores admissíveis:" prompt="Insira valores entre 0 e 100%." sqref="I10:J10" xr:uid="{B9E3904E-E1F5-4DE7-9C7B-AA03FFD9F7AD}">
      <formula1>0</formula1>
      <formula2>1</formula2>
    </dataValidation>
    <dataValidation type="list" allowBlank="1" showErrorMessage="1" sqref="A16:J16 A55:J55 A95:J95" xr:uid="{A414435C-8D5E-4B71-8BB6-6595C1CDA7E4}">
      <formula1>BDI.TipoObra</formula1>
      <formula2>0</formula2>
    </dataValidation>
  </dataValidations>
  <pageMargins left="0.511811024" right="0.511811024" top="0.78740157499999996" bottom="0.78740157499999996" header="0.31496062000000002" footer="0.31496062000000002"/>
  <pageSetup paperSize="9" scale="73" orientation="portrait" r:id="rId1"/>
  <colBreaks count="1" manualBreakCount="1">
    <brk id="10"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FBE03B-70A0-499C-8D4F-71CD2AE5C2D6}">
  <sheetPr>
    <pageSetUpPr fitToPage="1"/>
  </sheetPr>
  <dimension ref="A1:K41"/>
  <sheetViews>
    <sheetView showGridLines="0" showZeros="0" tabSelected="1" view="pageBreakPreview" topLeftCell="B1" zoomScaleNormal="100" zoomScaleSheetLayoutView="100" workbookViewId="0">
      <selection activeCell="F4" sqref="F4"/>
    </sheetView>
  </sheetViews>
  <sheetFormatPr defaultRowHeight="13.2"/>
  <cols>
    <col min="1" max="1" width="5.44140625" bestFit="1" customWidth="1"/>
    <col min="2" max="2" width="13" customWidth="1"/>
    <col min="3" max="3" width="38.33203125" customWidth="1"/>
    <col min="4" max="4" width="89.5546875" customWidth="1"/>
    <col min="5" max="5" width="10.109375" customWidth="1"/>
    <col min="6" max="6" width="15.6640625" customWidth="1"/>
    <col min="7" max="7" width="15.6640625" style="18" customWidth="1"/>
    <col min="8" max="8" width="13.109375" style="18" customWidth="1"/>
    <col min="9" max="9" width="15.6640625" style="18" customWidth="1"/>
  </cols>
  <sheetData>
    <row r="1" spans="1:11" ht="3.75" customHeight="1" thickBot="1">
      <c r="A1" s="29"/>
      <c r="B1" s="29"/>
      <c r="C1" s="29"/>
      <c r="D1" s="29"/>
      <c r="E1" s="29"/>
      <c r="F1" s="29"/>
      <c r="G1" s="30"/>
      <c r="H1" s="30"/>
      <c r="I1" s="30"/>
    </row>
    <row r="2" spans="1:11" s="22" customFormat="1" ht="22.5" customHeight="1">
      <c r="A2" s="308" t="s">
        <v>261</v>
      </c>
      <c r="B2" s="309"/>
      <c r="C2" s="309"/>
      <c r="D2" s="309"/>
      <c r="E2" s="309"/>
      <c r="F2" s="309"/>
      <c r="G2" s="309"/>
      <c r="H2" s="309"/>
      <c r="I2" s="310"/>
      <c r="J2" s="23"/>
      <c r="K2" s="23"/>
    </row>
    <row r="3" spans="1:11" s="8" customFormat="1" ht="18" customHeight="1">
      <c r="A3" s="311" t="s">
        <v>73</v>
      </c>
      <c r="B3" s="312"/>
      <c r="C3" s="312"/>
      <c r="D3" s="312"/>
      <c r="E3" s="313"/>
      <c r="F3" s="314" t="s">
        <v>15</v>
      </c>
      <c r="G3" s="312"/>
      <c r="H3" s="312"/>
      <c r="I3" s="315"/>
    </row>
    <row r="4" spans="1:11" s="8" customFormat="1" ht="18" customHeight="1">
      <c r="A4" s="311" t="s">
        <v>277</v>
      </c>
      <c r="B4" s="312"/>
      <c r="C4" s="312"/>
      <c r="D4" s="312"/>
      <c r="E4" s="313"/>
      <c r="F4" s="206" t="s">
        <v>265</v>
      </c>
      <c r="G4" s="24"/>
      <c r="H4" s="24"/>
      <c r="I4" s="207"/>
    </row>
    <row r="5" spans="1:11" s="8" customFormat="1" ht="18" customHeight="1">
      <c r="A5" s="311" t="s">
        <v>256</v>
      </c>
      <c r="B5" s="312"/>
      <c r="C5" s="312"/>
      <c r="D5" s="312"/>
      <c r="E5" s="313"/>
      <c r="F5" s="24" t="s">
        <v>16</v>
      </c>
      <c r="G5" s="31">
        <v>2.5000000000000001E-2</v>
      </c>
      <c r="H5" s="316" t="s">
        <v>7</v>
      </c>
      <c r="I5" s="317"/>
    </row>
    <row r="6" spans="1:11" s="8" customFormat="1" ht="18" customHeight="1">
      <c r="A6" s="327" t="s">
        <v>264</v>
      </c>
      <c r="B6" s="328"/>
      <c r="C6" s="328"/>
      <c r="D6" s="328"/>
      <c r="E6" s="328"/>
      <c r="F6" s="320" t="s">
        <v>17</v>
      </c>
      <c r="G6" s="322" t="s">
        <v>18</v>
      </c>
      <c r="H6" s="25" t="s">
        <v>19</v>
      </c>
      <c r="I6" s="26" t="s">
        <v>20</v>
      </c>
    </row>
    <row r="7" spans="1:11" ht="18" customHeight="1" thickBot="1">
      <c r="A7" s="329" t="s">
        <v>242</v>
      </c>
      <c r="B7" s="330"/>
      <c r="C7" s="330"/>
      <c r="D7" s="330"/>
      <c r="E7" s="331"/>
      <c r="F7" s="321"/>
      <c r="G7" s="323"/>
      <c r="H7" s="27" t="s">
        <v>21</v>
      </c>
      <c r="I7" s="204">
        <f>'COMPOSIÇÃO BDI '!J32</f>
        <v>0.25700000000000001</v>
      </c>
    </row>
    <row r="8" spans="1:11" ht="7.5" customHeight="1" thickBot="1">
      <c r="A8" s="324"/>
      <c r="B8" s="325"/>
      <c r="C8" s="325"/>
      <c r="D8" s="325"/>
      <c r="E8" s="325"/>
      <c r="F8" s="325"/>
      <c r="G8" s="325"/>
      <c r="H8" s="325"/>
      <c r="I8" s="326"/>
    </row>
    <row r="9" spans="1:11" ht="27" thickBot="1">
      <c r="A9" s="5" t="s">
        <v>0</v>
      </c>
      <c r="B9" s="6" t="s">
        <v>4</v>
      </c>
      <c r="C9" s="318" t="s">
        <v>1</v>
      </c>
      <c r="D9" s="319"/>
      <c r="E9" s="6" t="s">
        <v>3</v>
      </c>
      <c r="F9" s="6" t="s">
        <v>2</v>
      </c>
      <c r="G9" s="13" t="s">
        <v>34</v>
      </c>
      <c r="H9" s="13" t="s">
        <v>33</v>
      </c>
      <c r="I9" s="19" t="s">
        <v>5</v>
      </c>
    </row>
    <row r="10" spans="1:11" s="8" customFormat="1" ht="18" customHeight="1">
      <c r="A10" s="80">
        <v>1</v>
      </c>
      <c r="B10" s="44"/>
      <c r="C10" s="300" t="s">
        <v>244</v>
      </c>
      <c r="D10" s="301"/>
      <c r="E10" s="43"/>
      <c r="F10" s="43"/>
      <c r="G10" s="43"/>
      <c r="H10" s="43"/>
      <c r="I10" s="81">
        <f>SUM(I11:I11)</f>
        <v>2121.4703250000002</v>
      </c>
    </row>
    <row r="11" spans="1:11" s="8" customFormat="1" ht="18" customHeight="1">
      <c r="A11" s="77" t="s">
        <v>10</v>
      </c>
      <c r="B11" s="9" t="s">
        <v>230</v>
      </c>
      <c r="C11" s="298" t="s">
        <v>231</v>
      </c>
      <c r="D11" s="299"/>
      <c r="E11" s="78" t="str">
        <f>'[7]Modelo Planilha Orcamentaria'!E14</f>
        <v>M2</v>
      </c>
      <c r="F11" s="11">
        <v>4.5</v>
      </c>
      <c r="G11" s="14">
        <v>375.05</v>
      </c>
      <c r="H11" s="14">
        <f>G11*$I$7+G11</f>
        <v>471.43785000000003</v>
      </c>
      <c r="I11" s="20">
        <f>F11*H11</f>
        <v>2121.4703250000002</v>
      </c>
    </row>
    <row r="12" spans="1:11" s="8" customFormat="1" ht="18" customHeight="1">
      <c r="A12" s="80">
        <v>2</v>
      </c>
      <c r="B12" s="44"/>
      <c r="C12" s="300" t="s">
        <v>245</v>
      </c>
      <c r="D12" s="301"/>
      <c r="E12" s="43"/>
      <c r="F12" s="43"/>
      <c r="G12" s="43"/>
      <c r="H12" s="43"/>
      <c r="I12" s="81">
        <f>SUM(I13:I21)</f>
        <v>504040.25398494629</v>
      </c>
    </row>
    <row r="13" spans="1:11" s="8" customFormat="1" ht="19.95" customHeight="1">
      <c r="A13" s="77" t="s">
        <v>60</v>
      </c>
      <c r="B13" s="9" t="s">
        <v>232</v>
      </c>
      <c r="C13" s="298" t="s">
        <v>233</v>
      </c>
      <c r="D13" s="299"/>
      <c r="E13" s="10" t="s">
        <v>9</v>
      </c>
      <c r="F13" s="11">
        <f>'MC SINAPI'!F10</f>
        <v>3133.55</v>
      </c>
      <c r="G13" s="14">
        <v>2.84</v>
      </c>
      <c r="H13" s="14">
        <f t="shared" ref="H13:H20" si="0">G13*$I$7+G13</f>
        <v>3.5698799999999999</v>
      </c>
      <c r="I13" s="20">
        <f>F13*H13</f>
        <v>11186.397474000001</v>
      </c>
    </row>
    <row r="14" spans="1:11" s="8" customFormat="1" ht="30" customHeight="1">
      <c r="A14" s="77" t="s">
        <v>63</v>
      </c>
      <c r="B14" s="9" t="s">
        <v>234</v>
      </c>
      <c r="C14" s="298" t="s">
        <v>173</v>
      </c>
      <c r="D14" s="299"/>
      <c r="E14" s="10" t="s">
        <v>13</v>
      </c>
      <c r="F14" s="11">
        <f>'MC SINAPI'!F11</f>
        <v>909.30000000000007</v>
      </c>
      <c r="G14" s="14">
        <v>67.680000000000007</v>
      </c>
      <c r="H14" s="14">
        <f t="shared" si="0"/>
        <v>85.073760000000007</v>
      </c>
      <c r="I14" s="20">
        <f>F14*H14</f>
        <v>77357.569968000011</v>
      </c>
    </row>
    <row r="15" spans="1:11" s="8" customFormat="1" ht="30" customHeight="1">
      <c r="A15" s="77" t="s">
        <v>99</v>
      </c>
      <c r="B15" s="9" t="s">
        <v>278</v>
      </c>
      <c r="C15" s="298" t="str">
        <f>Composições!C8</f>
        <v>SOLEIRA DE DISPERSÃO PARA DRENAGEM DE ESTRADAS VICINAIS EM PONTOS DE JUSANTE, SARJETA DE SAÍDA EM CONCRETO E SEIXO ROLADO COM LARGURA DE 50CM, MEIOS-FIOS LATERAIS DE CONCRETO NAS DIMENSÕES 13X15X30CM</v>
      </c>
      <c r="D15" s="299"/>
      <c r="E15" s="10" t="str">
        <f>Composições!D8</f>
        <v>UNID.</v>
      </c>
      <c r="F15" s="11">
        <f>'MC SINAPI'!F12</f>
        <v>8</v>
      </c>
      <c r="G15" s="14">
        <f>Composições!G8</f>
        <v>247.14075000000003</v>
      </c>
      <c r="H15" s="14">
        <f t="shared" ref="H15" si="1">G15*$I$7+G15</f>
        <v>310.65592275000006</v>
      </c>
      <c r="I15" s="20">
        <f>F15*H15</f>
        <v>2485.2473820000005</v>
      </c>
    </row>
    <row r="16" spans="1:11" s="8" customFormat="1" ht="19.95" customHeight="1">
      <c r="A16" s="77" t="s">
        <v>100</v>
      </c>
      <c r="B16" s="9" t="s">
        <v>246</v>
      </c>
      <c r="C16" s="298" t="s">
        <v>247</v>
      </c>
      <c r="D16" s="299"/>
      <c r="E16" s="10" t="s">
        <v>9</v>
      </c>
      <c r="F16" s="11">
        <f>'MC SINAPI'!F13</f>
        <v>2864.9600000000005</v>
      </c>
      <c r="G16" s="14">
        <v>95.05</v>
      </c>
      <c r="H16" s="14">
        <f t="shared" si="0"/>
        <v>119.47784999999999</v>
      </c>
      <c r="I16" s="20">
        <f>F16*H16</f>
        <v>342299.26113600004</v>
      </c>
    </row>
    <row r="17" spans="1:9" s="8" customFormat="1" ht="19.95" customHeight="1">
      <c r="A17" s="77" t="s">
        <v>217</v>
      </c>
      <c r="B17" s="9" t="s">
        <v>250</v>
      </c>
      <c r="C17" s="298" t="s">
        <v>251</v>
      </c>
      <c r="D17" s="299"/>
      <c r="E17" s="10" t="s">
        <v>221</v>
      </c>
      <c r="F17" s="11">
        <f>'MC SINAPI'!F14</f>
        <v>187.65488000000005</v>
      </c>
      <c r="G17" s="14">
        <v>0.88</v>
      </c>
      <c r="H17" s="14">
        <f t="shared" si="0"/>
        <v>1.10616</v>
      </c>
      <c r="I17" s="20">
        <f t="shared" ref="I17:I18" si="2">F17*H17</f>
        <v>207.57632206080007</v>
      </c>
    </row>
    <row r="18" spans="1:9" s="8" customFormat="1" ht="30" customHeight="1">
      <c r="A18" s="77" t="s">
        <v>218</v>
      </c>
      <c r="B18" s="9" t="s">
        <v>237</v>
      </c>
      <c r="C18" s="298" t="s">
        <v>238</v>
      </c>
      <c r="D18" s="299"/>
      <c r="E18" s="10" t="s">
        <v>70</v>
      </c>
      <c r="F18" s="11">
        <f>'MC SINAPI'!F14</f>
        <v>187.65488000000005</v>
      </c>
      <c r="G18" s="14">
        <v>8.5399999999999991</v>
      </c>
      <c r="H18" s="14">
        <f t="shared" si="0"/>
        <v>10.734779999999999</v>
      </c>
      <c r="I18" s="20">
        <f t="shared" si="2"/>
        <v>2014.4338527264003</v>
      </c>
    </row>
    <row r="19" spans="1:9" s="8" customFormat="1" ht="19.95" customHeight="1">
      <c r="A19" s="77" t="s">
        <v>259</v>
      </c>
      <c r="B19" s="9" t="s">
        <v>248</v>
      </c>
      <c r="C19" s="298" t="s">
        <v>249</v>
      </c>
      <c r="D19" s="299"/>
      <c r="E19" s="10" t="s">
        <v>221</v>
      </c>
      <c r="F19" s="11">
        <f>'MC SINAPI'!F15</f>
        <v>5629.6464000000014</v>
      </c>
      <c r="G19" s="14">
        <v>2.31</v>
      </c>
      <c r="H19" s="14">
        <f t="shared" si="0"/>
        <v>2.90367</v>
      </c>
      <c r="I19" s="20">
        <f>F19*H19</f>
        <v>16346.635362288003</v>
      </c>
    </row>
    <row r="20" spans="1:9" s="8" customFormat="1" ht="19.95" customHeight="1">
      <c r="A20" s="77" t="s">
        <v>260</v>
      </c>
      <c r="B20" s="9" t="s">
        <v>250</v>
      </c>
      <c r="C20" s="298" t="s">
        <v>251</v>
      </c>
      <c r="D20" s="299"/>
      <c r="E20" s="10" t="s">
        <v>221</v>
      </c>
      <c r="F20" s="11">
        <f>'MC SINAPI'!F16</f>
        <v>10095.832544000003</v>
      </c>
      <c r="G20" s="14">
        <v>0.88</v>
      </c>
      <c r="H20" s="14">
        <f t="shared" si="0"/>
        <v>1.10616</v>
      </c>
      <c r="I20" s="20">
        <f t="shared" ref="I20" si="3">F20*H20</f>
        <v>11167.606126871044</v>
      </c>
    </row>
    <row r="21" spans="1:9" s="8" customFormat="1" ht="19.95" customHeight="1" thickBot="1">
      <c r="A21" s="77" t="s">
        <v>266</v>
      </c>
      <c r="B21" s="9" t="s">
        <v>254</v>
      </c>
      <c r="C21" s="298" t="s">
        <v>255</v>
      </c>
      <c r="D21" s="299"/>
      <c r="E21" s="10" t="s">
        <v>13</v>
      </c>
      <c r="F21" s="11">
        <f>'MC SINAPI'!F17</f>
        <v>895.30000000000007</v>
      </c>
      <c r="G21" s="14">
        <v>36.409999999999997</v>
      </c>
      <c r="H21" s="14">
        <f t="shared" ref="H21" si="4">G21*$I$7+G21</f>
        <v>45.76737</v>
      </c>
      <c r="I21" s="20">
        <f>F21*H21</f>
        <v>40975.526361000004</v>
      </c>
    </row>
    <row r="22" spans="1:9" s="83" customFormat="1" ht="18" customHeight="1" thickBot="1">
      <c r="A22" s="304" t="s">
        <v>71</v>
      </c>
      <c r="B22" s="305"/>
      <c r="C22" s="305"/>
      <c r="D22" s="305"/>
      <c r="E22" s="305"/>
      <c r="F22" s="305"/>
      <c r="G22" s="305"/>
      <c r="H22" s="305"/>
      <c r="I22" s="82">
        <f>I10+I12</f>
        <v>506161.72430994629</v>
      </c>
    </row>
    <row r="23" spans="1:9" ht="10.8" customHeight="1">
      <c r="A23" s="306"/>
      <c r="B23" s="306"/>
      <c r="C23" s="306"/>
      <c r="D23" s="306"/>
      <c r="E23" s="306"/>
      <c r="F23" s="306"/>
      <c r="G23" s="306"/>
      <c r="H23" s="306"/>
      <c r="I23" s="306"/>
    </row>
    <row r="24" spans="1:9" ht="8.1" customHeight="1">
      <c r="A24" s="306"/>
      <c r="B24" s="306"/>
      <c r="C24" s="306"/>
      <c r="D24" s="306"/>
      <c r="E24" s="306"/>
      <c r="F24" s="306"/>
      <c r="G24" s="306"/>
      <c r="H24" s="306"/>
      <c r="I24" s="306"/>
    </row>
    <row r="25" spans="1:9" ht="3" customHeight="1">
      <c r="A25" s="2"/>
      <c r="B25" s="2"/>
      <c r="C25" s="2"/>
      <c r="D25" s="2"/>
      <c r="E25" s="2"/>
      <c r="F25" s="2"/>
      <c r="G25" s="15"/>
      <c r="H25" s="15"/>
      <c r="I25" s="15"/>
    </row>
    <row r="26" spans="1:9" ht="11.25" customHeight="1">
      <c r="A26" s="2"/>
      <c r="B26" s="303"/>
      <c r="C26" s="303"/>
      <c r="D26" s="4"/>
      <c r="E26" s="2"/>
      <c r="F26" s="307"/>
      <c r="G26" s="307"/>
      <c r="H26" s="16"/>
      <c r="I26" s="15"/>
    </row>
    <row r="27" spans="1:9">
      <c r="A27" s="3"/>
      <c r="B27" s="12" t="s">
        <v>8</v>
      </c>
      <c r="C27" s="12"/>
      <c r="D27" s="12"/>
      <c r="E27" s="3"/>
      <c r="F27" s="302" t="s">
        <v>6</v>
      </c>
      <c r="G27" s="302"/>
      <c r="H27" s="17"/>
      <c r="I27" s="21"/>
    </row>
    <row r="29" spans="1:9" ht="11.25" customHeight="1">
      <c r="A29" s="2"/>
      <c r="B29" s="303"/>
      <c r="C29" s="303"/>
      <c r="D29" s="4"/>
      <c r="E29" s="2"/>
      <c r="F29" s="303"/>
      <c r="G29" s="303"/>
      <c r="H29" s="16"/>
      <c r="I29" s="15"/>
    </row>
    <row r="30" spans="1:9">
      <c r="A30" s="3"/>
      <c r="B30" s="12" t="s">
        <v>12</v>
      </c>
      <c r="C30" s="12"/>
      <c r="D30" s="7"/>
      <c r="E30" s="3"/>
      <c r="F30" s="302"/>
      <c r="G30" s="302"/>
      <c r="H30" s="17"/>
      <c r="I30" s="21"/>
    </row>
    <row r="31" spans="1:9" ht="10.8" customHeight="1"/>
    <row r="32" spans="1:9" ht="9.6" customHeight="1"/>
    <row r="33" spans="4:4" ht="14.1" customHeight="1"/>
    <row r="41" spans="4:4">
      <c r="D41">
        <f>D39-D40</f>
        <v>0</v>
      </c>
    </row>
  </sheetData>
  <mergeCells count="33">
    <mergeCell ref="C9:D9"/>
    <mergeCell ref="C10:D10"/>
    <mergeCell ref="C11:D11"/>
    <mergeCell ref="F6:F7"/>
    <mergeCell ref="G6:G7"/>
    <mergeCell ref="A8:I8"/>
    <mergeCell ref="A6:E6"/>
    <mergeCell ref="A7:E7"/>
    <mergeCell ref="A2:I2"/>
    <mergeCell ref="A3:E3"/>
    <mergeCell ref="F3:I3"/>
    <mergeCell ref="A4:E4"/>
    <mergeCell ref="A5:E5"/>
    <mergeCell ref="H5:I5"/>
    <mergeCell ref="F27:G27"/>
    <mergeCell ref="B29:C29"/>
    <mergeCell ref="F29:G29"/>
    <mergeCell ref="F30:G30"/>
    <mergeCell ref="A22:H22"/>
    <mergeCell ref="A23:I23"/>
    <mergeCell ref="A24:I24"/>
    <mergeCell ref="B26:C26"/>
    <mergeCell ref="F26:G26"/>
    <mergeCell ref="C21:D21"/>
    <mergeCell ref="C20:D20"/>
    <mergeCell ref="C18:D18"/>
    <mergeCell ref="C19:D19"/>
    <mergeCell ref="C12:D12"/>
    <mergeCell ref="C17:D17"/>
    <mergeCell ref="C13:D13"/>
    <mergeCell ref="C14:D14"/>
    <mergeCell ref="C16:D16"/>
    <mergeCell ref="C15:D15"/>
  </mergeCells>
  <phoneticPr fontId="54" type="noConversion"/>
  <printOptions horizontalCentered="1"/>
  <pageMargins left="0.19685039370078741" right="0" top="0.39370078740157483" bottom="0" header="0" footer="0"/>
  <pageSetup paperSize="9" scale="69" orientation="landscape"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DC9A8-6111-42D1-B5AD-7420602252D1}">
  <sheetPr>
    <pageSetUpPr fitToPage="1"/>
  </sheetPr>
  <dimension ref="A1:I30"/>
  <sheetViews>
    <sheetView view="pageBreakPreview" zoomScaleNormal="100" zoomScaleSheetLayoutView="100" workbookViewId="0">
      <selection activeCell="B9" sqref="B9:B10"/>
    </sheetView>
  </sheetViews>
  <sheetFormatPr defaultRowHeight="13.2"/>
  <cols>
    <col min="1" max="1" width="12.109375" customWidth="1"/>
    <col min="2" max="2" width="60.33203125" customWidth="1"/>
    <col min="3" max="3" width="22.88671875" customWidth="1"/>
    <col min="4" max="4" width="21.6640625" customWidth="1"/>
    <col min="5" max="8" width="14.88671875" customWidth="1"/>
    <col min="9" max="9" width="18" customWidth="1"/>
  </cols>
  <sheetData>
    <row r="1" spans="1:9" ht="16.2" thickBot="1">
      <c r="A1" s="560" t="s">
        <v>262</v>
      </c>
      <c r="B1" s="561"/>
      <c r="C1" s="561"/>
      <c r="D1" s="561"/>
      <c r="E1" s="561"/>
      <c r="F1" s="561"/>
      <c r="G1" s="561"/>
      <c r="H1" s="562"/>
    </row>
    <row r="2" spans="1:9" ht="8.1" customHeight="1" thickBot="1">
      <c r="A2" s="190"/>
      <c r="B2" s="33"/>
      <c r="C2" s="32"/>
      <c r="D2" s="32"/>
      <c r="E2" s="33"/>
      <c r="F2" s="33"/>
      <c r="G2" s="33"/>
      <c r="H2" s="191"/>
    </row>
    <row r="3" spans="1:9" ht="15" customHeight="1" thickBot="1">
      <c r="A3" s="563" t="s">
        <v>22</v>
      </c>
      <c r="B3" s="564"/>
      <c r="C3" s="564"/>
      <c r="D3" s="564"/>
      <c r="E3" s="564"/>
      <c r="F3" s="564"/>
      <c r="G3" s="564"/>
      <c r="H3" s="565"/>
    </row>
    <row r="4" spans="1:9" ht="25.5" customHeight="1">
      <c r="A4" s="575" t="s">
        <v>239</v>
      </c>
      <c r="B4" s="576"/>
      <c r="C4" s="205" t="s">
        <v>77</v>
      </c>
      <c r="D4" s="570">
        <f>D14</f>
        <v>506161.72430994629</v>
      </c>
      <c r="E4" s="570"/>
      <c r="F4" s="651" t="str">
        <f>'Planilha orçamentaria SINAPI'!F4</f>
        <v>DATA: 01/04/2026</v>
      </c>
      <c r="G4" s="652"/>
      <c r="H4" s="653"/>
    </row>
    <row r="5" spans="1:9" ht="28.8" customHeight="1" thickBot="1">
      <c r="A5" s="577" t="s">
        <v>243</v>
      </c>
      <c r="B5" s="578"/>
      <c r="C5" s="568" t="s">
        <v>257</v>
      </c>
      <c r="D5" s="569"/>
      <c r="E5" s="569"/>
      <c r="F5" s="648" t="s">
        <v>241</v>
      </c>
      <c r="G5" s="649"/>
      <c r="H5" s="650"/>
    </row>
    <row r="6" spans="1:9">
      <c r="A6" s="192" t="s">
        <v>0</v>
      </c>
      <c r="B6" s="103" t="s">
        <v>23</v>
      </c>
      <c r="C6" s="104" t="s">
        <v>24</v>
      </c>
      <c r="D6" s="104" t="s">
        <v>25</v>
      </c>
      <c r="E6" s="103" t="s">
        <v>26</v>
      </c>
      <c r="F6" s="103" t="s">
        <v>94</v>
      </c>
      <c r="G6" s="103" t="s">
        <v>95</v>
      </c>
      <c r="H6" s="193" t="s">
        <v>236</v>
      </c>
    </row>
    <row r="7" spans="1:9">
      <c r="A7" s="579">
        <v>1</v>
      </c>
      <c r="B7" s="566" t="s">
        <v>244</v>
      </c>
      <c r="C7" s="34" t="s">
        <v>27</v>
      </c>
      <c r="D7" s="35">
        <f>D8/$D$14</f>
        <v>4.1912895090837126E-3</v>
      </c>
      <c r="E7" s="36">
        <v>1</v>
      </c>
      <c r="F7" s="36"/>
      <c r="G7" s="36"/>
      <c r="H7" s="194"/>
    </row>
    <row r="8" spans="1:9">
      <c r="A8" s="580"/>
      <c r="B8" s="567"/>
      <c r="C8" s="37" t="s">
        <v>28</v>
      </c>
      <c r="D8" s="38">
        <f>'Planilha orçamentaria SINAPI'!I10</f>
        <v>2121.4703250000002</v>
      </c>
      <c r="E8" s="38">
        <f>E7*D8</f>
        <v>2121.4703250000002</v>
      </c>
      <c r="F8" s="38"/>
      <c r="G8" s="38"/>
      <c r="H8" s="195"/>
    </row>
    <row r="9" spans="1:9">
      <c r="A9" s="579">
        <v>2</v>
      </c>
      <c r="B9" s="566" t="s">
        <v>245</v>
      </c>
      <c r="C9" s="34" t="s">
        <v>27</v>
      </c>
      <c r="D9" s="35">
        <f>D10/$D$14</f>
        <v>0.99580871049091624</v>
      </c>
      <c r="E9" s="36">
        <v>0.25</v>
      </c>
      <c r="F9" s="36">
        <v>0.25</v>
      </c>
      <c r="G9" s="36">
        <v>0.25</v>
      </c>
      <c r="H9" s="194">
        <v>0.25</v>
      </c>
    </row>
    <row r="10" spans="1:9">
      <c r="A10" s="580"/>
      <c r="B10" s="567"/>
      <c r="C10" s="37" t="s">
        <v>28</v>
      </c>
      <c r="D10" s="38">
        <f>'Planilha orçamentaria SINAPI'!I12</f>
        <v>504040.25398494629</v>
      </c>
      <c r="E10" s="38">
        <f>E9*D10</f>
        <v>126010.06349623657</v>
      </c>
      <c r="F10" s="38">
        <f>F9*D10</f>
        <v>126010.06349623657</v>
      </c>
      <c r="G10" s="38">
        <f>G9*D10</f>
        <v>126010.06349623657</v>
      </c>
      <c r="H10" s="195">
        <f>H9*D10</f>
        <v>126010.06349623657</v>
      </c>
    </row>
    <row r="11" spans="1:9" hidden="1">
      <c r="A11" s="579">
        <v>6</v>
      </c>
      <c r="B11" s="566" t="s">
        <v>235</v>
      </c>
      <c r="C11" s="34" t="s">
        <v>27</v>
      </c>
      <c r="D11" s="35">
        <f>D12/$D$14</f>
        <v>0</v>
      </c>
      <c r="E11" s="36"/>
      <c r="F11" s="36"/>
      <c r="G11" s="36"/>
      <c r="H11" s="194"/>
    </row>
    <row r="12" spans="1:9" hidden="1">
      <c r="A12" s="580"/>
      <c r="B12" s="567"/>
      <c r="C12" s="37" t="s">
        <v>28</v>
      </c>
      <c r="D12" s="38">
        <v>0</v>
      </c>
      <c r="E12" s="38"/>
      <c r="F12" s="38"/>
      <c r="G12" s="38"/>
      <c r="H12" s="195"/>
    </row>
    <row r="13" spans="1:9">
      <c r="A13" s="581" t="s">
        <v>29</v>
      </c>
      <c r="B13" s="582"/>
      <c r="C13" s="39" t="s">
        <v>27</v>
      </c>
      <c r="D13" s="86">
        <f>(D8+D10)/D14</f>
        <v>1</v>
      </c>
      <c r="E13" s="86">
        <f>E14/$D$14</f>
        <v>0.25314346713181279</v>
      </c>
      <c r="F13" s="86">
        <f>F14/$D$14</f>
        <v>0.24895217762272906</v>
      </c>
      <c r="G13" s="86">
        <f>G14/$D$14</f>
        <v>0.24895217762272906</v>
      </c>
      <c r="H13" s="196">
        <f>H14/$D$14</f>
        <v>0.24895217762272906</v>
      </c>
      <c r="I13" s="105"/>
    </row>
    <row r="14" spans="1:9">
      <c r="A14" s="583"/>
      <c r="B14" s="584"/>
      <c r="C14" s="172" t="s">
        <v>28</v>
      </c>
      <c r="D14" s="173">
        <f>D8+D10</f>
        <v>506161.72430994629</v>
      </c>
      <c r="E14" s="173">
        <f>E8+E10</f>
        <v>128131.53382123658</v>
      </c>
      <c r="F14" s="173">
        <f>F8+F10</f>
        <v>126010.06349623657</v>
      </c>
      <c r="G14" s="173">
        <f>G8+G10</f>
        <v>126010.06349623657</v>
      </c>
      <c r="H14" s="197">
        <f>H8+H10</f>
        <v>126010.06349623657</v>
      </c>
      <c r="I14" s="189"/>
    </row>
    <row r="15" spans="1:9">
      <c r="A15" s="198"/>
      <c r="B15" s="88"/>
      <c r="C15" s="171"/>
      <c r="D15" s="171"/>
      <c r="E15" s="88"/>
      <c r="F15" s="88"/>
      <c r="G15" s="88"/>
      <c r="H15" s="208"/>
    </row>
    <row r="16" spans="1:9">
      <c r="A16" s="87"/>
      <c r="B16" s="89"/>
      <c r="C16" s="89"/>
      <c r="D16" s="89"/>
      <c r="E16" s="89"/>
      <c r="F16" s="89"/>
      <c r="G16" s="89"/>
      <c r="H16" s="200"/>
    </row>
    <row r="17" spans="1:8">
      <c r="A17" s="87"/>
      <c r="B17" s="88"/>
      <c r="C17" s="89"/>
      <c r="D17" s="586" t="s">
        <v>30</v>
      </c>
      <c r="E17" s="586"/>
      <c r="F17" s="85"/>
      <c r="G17" s="85"/>
      <c r="H17" s="201"/>
    </row>
    <row r="18" spans="1:8">
      <c r="A18" s="90"/>
      <c r="B18" s="587"/>
      <c r="C18" s="91"/>
      <c r="D18" s="585" t="s">
        <v>6</v>
      </c>
      <c r="E18" s="585"/>
      <c r="F18" s="85"/>
      <c r="G18" s="85"/>
      <c r="H18" s="201"/>
    </row>
    <row r="19" spans="1:8">
      <c r="A19" s="92"/>
      <c r="B19" s="588"/>
      <c r="C19" s="91"/>
      <c r="D19" s="91"/>
      <c r="E19" s="85"/>
      <c r="F19" s="85"/>
      <c r="G19" s="85"/>
      <c r="H19" s="201"/>
    </row>
    <row r="20" spans="1:8">
      <c r="A20" s="92"/>
      <c r="B20" s="93"/>
      <c r="C20" s="91"/>
      <c r="D20" s="91"/>
      <c r="E20" s="85"/>
      <c r="F20" s="85"/>
      <c r="G20" s="85"/>
      <c r="H20" s="201"/>
    </row>
    <row r="21" spans="1:8">
      <c r="A21" s="92"/>
      <c r="B21" s="93"/>
      <c r="C21" s="91"/>
      <c r="D21" s="91"/>
      <c r="E21" s="85"/>
      <c r="F21" s="85"/>
      <c r="G21" s="85"/>
      <c r="H21" s="201"/>
    </row>
    <row r="22" spans="1:8">
      <c r="A22" s="94"/>
      <c r="B22" s="95"/>
      <c r="C22" s="96"/>
      <c r="D22" s="96"/>
      <c r="E22" s="97"/>
      <c r="F22" s="97"/>
      <c r="G22" s="97"/>
      <c r="H22" s="202"/>
    </row>
    <row r="23" spans="1:8" ht="13.8" thickBot="1">
      <c r="A23" s="98"/>
      <c r="B23" s="99"/>
      <c r="C23" s="100"/>
      <c r="D23" s="100"/>
      <c r="E23" s="101"/>
      <c r="F23" s="101"/>
      <c r="G23" s="101"/>
      <c r="H23" s="203"/>
    </row>
    <row r="24" spans="1:8">
      <c r="A24" s="33"/>
      <c r="B24" s="33"/>
      <c r="C24" s="32"/>
      <c r="D24" s="32"/>
      <c r="E24" s="33"/>
      <c r="F24" s="33"/>
      <c r="G24" s="33"/>
      <c r="H24" s="33"/>
    </row>
    <row r="25" spans="1:8">
      <c r="A25" s="33"/>
      <c r="B25" s="33"/>
      <c r="C25" s="32"/>
      <c r="D25" s="32"/>
      <c r="E25" s="33"/>
      <c r="F25" s="33"/>
      <c r="G25" s="33"/>
      <c r="H25" s="33"/>
    </row>
    <row r="26" spans="1:8">
      <c r="A26" s="33"/>
      <c r="B26" s="33"/>
      <c r="C26" s="32"/>
      <c r="D26" s="32"/>
      <c r="E26" s="33"/>
      <c r="F26" s="33"/>
      <c r="G26" s="33"/>
      <c r="H26" s="33"/>
    </row>
    <row r="27" spans="1:8">
      <c r="A27" s="33"/>
      <c r="B27" s="33"/>
      <c r="C27" s="32"/>
      <c r="D27" s="32"/>
      <c r="E27" s="33"/>
      <c r="F27" s="33"/>
      <c r="G27" s="33"/>
      <c r="H27" s="33"/>
    </row>
    <row r="28" spans="1:8">
      <c r="A28" s="33"/>
      <c r="B28" s="33"/>
      <c r="C28" s="32"/>
      <c r="D28" s="32"/>
      <c r="E28" s="33"/>
      <c r="F28" s="33"/>
      <c r="G28" s="33"/>
      <c r="H28" s="33"/>
    </row>
    <row r="29" spans="1:8">
      <c r="A29" s="33"/>
      <c r="B29" s="33"/>
      <c r="C29" s="32"/>
      <c r="D29" s="32"/>
      <c r="E29" s="33"/>
      <c r="F29" s="33"/>
      <c r="G29" s="33"/>
      <c r="H29" s="33"/>
    </row>
    <row r="30" spans="1:8" ht="13.8" thickBot="1">
      <c r="A30" s="33"/>
      <c r="B30" s="33"/>
      <c r="C30" s="32"/>
      <c r="D30" s="32"/>
      <c r="E30" s="33"/>
      <c r="F30" s="33"/>
      <c r="G30" s="33"/>
      <c r="H30" s="33"/>
    </row>
  </sheetData>
  <mergeCells count="18">
    <mergeCell ref="A1:H1"/>
    <mergeCell ref="A3:H3"/>
    <mergeCell ref="A4:B4"/>
    <mergeCell ref="D4:E4"/>
    <mergeCell ref="F4:H4"/>
    <mergeCell ref="A5:B5"/>
    <mergeCell ref="C5:E5"/>
    <mergeCell ref="F5:H5"/>
    <mergeCell ref="A7:A8"/>
    <mergeCell ref="B7:B8"/>
    <mergeCell ref="A9:A10"/>
    <mergeCell ref="B9:B10"/>
    <mergeCell ref="B18:B19"/>
    <mergeCell ref="D18:E18"/>
    <mergeCell ref="A11:A12"/>
    <mergeCell ref="B11:B12"/>
    <mergeCell ref="A13:B14"/>
    <mergeCell ref="D17:E17"/>
  </mergeCells>
  <printOptions horizontalCentered="1"/>
  <pageMargins left="0.39370078740157499" right="0.39370078740157499" top="0.59055118110236204" bottom="0" header="0" footer="0"/>
  <pageSetup paperSize="9" scale="8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DF7C89-D93C-461A-9C1E-9CA628658032}">
  <sheetPr>
    <pageSetUpPr fitToPage="1"/>
  </sheetPr>
  <dimension ref="A1:G18"/>
  <sheetViews>
    <sheetView view="pageBreakPreview" zoomScale="115" zoomScaleNormal="100" zoomScaleSheetLayoutView="115" workbookViewId="0">
      <selection sqref="A1:G17"/>
    </sheetView>
  </sheetViews>
  <sheetFormatPr defaultRowHeight="13.2"/>
  <cols>
    <col min="1" max="1" width="5.44140625" bestFit="1" customWidth="1"/>
    <col min="2" max="2" width="17.109375" customWidth="1"/>
    <col min="3" max="3" width="24.109375" customWidth="1"/>
    <col min="4" max="4" width="104.33203125" customWidth="1"/>
    <col min="5" max="5" width="10.109375" customWidth="1"/>
    <col min="6" max="6" width="15.6640625" customWidth="1"/>
    <col min="7" max="7" width="61.44140625" customWidth="1"/>
    <col min="9" max="9" width="65.33203125" customWidth="1"/>
  </cols>
  <sheetData>
    <row r="1" spans="1:7" ht="20.100000000000001" customHeight="1">
      <c r="A1" s="551" t="s">
        <v>258</v>
      </c>
      <c r="B1" s="552"/>
      <c r="C1" s="552"/>
      <c r="D1" s="552"/>
      <c r="E1" s="552"/>
      <c r="F1" s="552"/>
      <c r="G1" s="553"/>
    </row>
    <row r="2" spans="1:7" ht="18" customHeight="1">
      <c r="A2" s="662" t="s">
        <v>239</v>
      </c>
      <c r="B2" s="663"/>
      <c r="C2" s="663"/>
      <c r="D2" s="663"/>
      <c r="E2" s="663"/>
      <c r="F2" s="663"/>
      <c r="G2" s="664"/>
    </row>
    <row r="3" spans="1:7" ht="18" customHeight="1">
      <c r="A3" s="662" t="s">
        <v>243</v>
      </c>
      <c r="B3" s="663"/>
      <c r="C3" s="663"/>
      <c r="D3" s="663"/>
      <c r="E3" s="663"/>
      <c r="F3" s="663"/>
      <c r="G3" s="664"/>
    </row>
    <row r="4" spans="1:7" ht="18" customHeight="1" thickBot="1">
      <c r="A4" s="665" t="s">
        <v>257</v>
      </c>
      <c r="B4" s="666"/>
      <c r="C4" s="666"/>
      <c r="D4" s="666"/>
      <c r="E4" s="666"/>
      <c r="F4" s="666"/>
      <c r="G4" s="667"/>
    </row>
    <row r="5" spans="1:7" ht="13.8" thickBot="1">
      <c r="A5" s="5" t="s">
        <v>0</v>
      </c>
      <c r="B5" s="6" t="s">
        <v>4</v>
      </c>
      <c r="C5" s="106" t="s">
        <v>1</v>
      </c>
      <c r="D5" s="107"/>
      <c r="E5" s="6" t="s">
        <v>3</v>
      </c>
      <c r="F5" s="6" t="s">
        <v>2</v>
      </c>
      <c r="G5" s="19" t="s">
        <v>65</v>
      </c>
    </row>
    <row r="6" spans="1:7" ht="8.1" customHeight="1">
      <c r="A6" s="548"/>
      <c r="B6" s="549"/>
      <c r="C6" s="549"/>
      <c r="D6" s="549"/>
      <c r="E6" s="549"/>
      <c r="F6" s="549"/>
      <c r="G6" s="550"/>
    </row>
    <row r="7" spans="1:7" ht="15" customHeight="1">
      <c r="A7" s="80">
        <v>1</v>
      </c>
      <c r="B7" s="44"/>
      <c r="C7" s="300" t="s">
        <v>11</v>
      </c>
      <c r="D7" s="301"/>
      <c r="E7" s="43"/>
      <c r="F7" s="43"/>
      <c r="G7" s="108"/>
    </row>
    <row r="8" spans="1:7" ht="30" customHeight="1">
      <c r="A8" s="77" t="s">
        <v>10</v>
      </c>
      <c r="B8" s="9" t="s">
        <v>230</v>
      </c>
      <c r="C8" s="298" t="s">
        <v>68</v>
      </c>
      <c r="D8" s="299"/>
      <c r="E8" s="10" t="s">
        <v>9</v>
      </c>
      <c r="F8" s="11">
        <v>4.5</v>
      </c>
      <c r="G8" s="109" t="s">
        <v>177</v>
      </c>
    </row>
    <row r="9" spans="1:7" ht="21" customHeight="1">
      <c r="A9" s="80">
        <v>2</v>
      </c>
      <c r="B9" s="44"/>
      <c r="C9" s="300" t="s">
        <v>245</v>
      </c>
      <c r="D9" s="301"/>
      <c r="E9" s="43"/>
      <c r="F9" s="43"/>
      <c r="G9" s="108"/>
    </row>
    <row r="10" spans="1:7" ht="27.6" customHeight="1">
      <c r="A10" s="77" t="s">
        <v>60</v>
      </c>
      <c r="B10" s="9" t="s">
        <v>232</v>
      </c>
      <c r="C10" s="298" t="s">
        <v>233</v>
      </c>
      <c r="D10" s="299"/>
      <c r="E10" s="10" t="s">
        <v>9</v>
      </c>
      <c r="F10" s="11">
        <f>(40+40+58+51.05+52.3+40+40+40+46.3+40)*7</f>
        <v>3133.55</v>
      </c>
      <c r="G10" s="109" t="s">
        <v>280</v>
      </c>
    </row>
    <row r="11" spans="1:7" ht="27.6" customHeight="1">
      <c r="A11" s="77" t="s">
        <v>63</v>
      </c>
      <c r="B11" s="9" t="s">
        <v>234</v>
      </c>
      <c r="C11" s="298" t="s">
        <v>173</v>
      </c>
      <c r="D11" s="299"/>
      <c r="E11" s="10" t="s">
        <v>13</v>
      </c>
      <c r="F11" s="11">
        <f>((40+40+58+51.05+52.3+40+40+40+46.3+40)*2)+14</f>
        <v>909.30000000000007</v>
      </c>
      <c r="G11" s="109" t="s">
        <v>281</v>
      </c>
    </row>
    <row r="12" spans="1:7" ht="27.6" customHeight="1">
      <c r="A12" s="77" t="s">
        <v>99</v>
      </c>
      <c r="B12" s="9" t="s">
        <v>278</v>
      </c>
      <c r="C12" s="298" t="str">
        <f>Composições!C8</f>
        <v>SOLEIRA DE DISPERSÃO PARA DRENAGEM DE ESTRADAS VICINAIS EM PONTOS DE JUSANTE, SARJETA DE SAÍDA EM CONCRETO E SEIXO ROLADO COM LARGURA DE 50CM, MEIOS-FIOS LATERAIS DE CONCRETO NAS DIMENSÕES 13X15X30CM</v>
      </c>
      <c r="D12" s="299"/>
      <c r="E12" s="10" t="str">
        <f>'Planilha orçamentaria SINAPI'!E15</f>
        <v>UNID.</v>
      </c>
      <c r="F12" s="11">
        <v>8</v>
      </c>
      <c r="G12" s="109" t="s">
        <v>279</v>
      </c>
    </row>
    <row r="13" spans="1:7" ht="25.2" customHeight="1">
      <c r="A13" s="77" t="s">
        <v>100</v>
      </c>
      <c r="B13" s="9" t="s">
        <v>246</v>
      </c>
      <c r="C13" s="298" t="s">
        <v>247</v>
      </c>
      <c r="D13" s="299"/>
      <c r="E13" s="10" t="s">
        <v>9</v>
      </c>
      <c r="F13" s="11">
        <f>(40+40+58+51.05+52.3+40+40+40+46.3+40)*6.4</f>
        <v>2864.9600000000005</v>
      </c>
      <c r="G13" s="109" t="s">
        <v>282</v>
      </c>
    </row>
    <row r="14" spans="1:7" ht="30" customHeight="1">
      <c r="A14" s="77" t="s">
        <v>217</v>
      </c>
      <c r="B14" s="9" t="s">
        <v>237</v>
      </c>
      <c r="C14" s="298" t="s">
        <v>238</v>
      </c>
      <c r="D14" s="299"/>
      <c r="E14" s="10" t="s">
        <v>70</v>
      </c>
      <c r="F14" s="11">
        <f>(0.0568*F13)+(0.0087*F13)</f>
        <v>187.65488000000005</v>
      </c>
      <c r="G14" s="109" t="s">
        <v>263</v>
      </c>
    </row>
    <row r="15" spans="1:7" ht="19.95" customHeight="1">
      <c r="A15" s="77" t="s">
        <v>218</v>
      </c>
      <c r="B15" s="9" t="s">
        <v>248</v>
      </c>
      <c r="C15" s="298" t="s">
        <v>249</v>
      </c>
      <c r="D15" s="299"/>
      <c r="E15" s="10" t="s">
        <v>221</v>
      </c>
      <c r="F15" s="11">
        <f>F14*30</f>
        <v>5629.6464000000014</v>
      </c>
      <c r="G15" s="109" t="s">
        <v>252</v>
      </c>
    </row>
    <row r="16" spans="1:7" ht="19.95" customHeight="1">
      <c r="A16" s="77" t="s">
        <v>259</v>
      </c>
      <c r="B16" s="9" t="s">
        <v>250</v>
      </c>
      <c r="C16" s="298" t="s">
        <v>251</v>
      </c>
      <c r="D16" s="299"/>
      <c r="E16" s="10" t="s">
        <v>221</v>
      </c>
      <c r="F16" s="11">
        <f>F14*53.8</f>
        <v>10095.832544000003</v>
      </c>
      <c r="G16" s="109" t="s">
        <v>253</v>
      </c>
    </row>
    <row r="17" spans="1:7" ht="27.6" customHeight="1" thickBot="1">
      <c r="A17" s="668" t="s">
        <v>260</v>
      </c>
      <c r="B17" s="669" t="s">
        <v>254</v>
      </c>
      <c r="C17" s="670" t="s">
        <v>255</v>
      </c>
      <c r="D17" s="671"/>
      <c r="E17" s="672" t="s">
        <v>13</v>
      </c>
      <c r="F17" s="673">
        <f>((40+40+58+51.05+52.3+40+40+40+46.3+40)*2)</f>
        <v>895.30000000000007</v>
      </c>
      <c r="G17" s="674" t="s">
        <v>283</v>
      </c>
    </row>
    <row r="18" spans="1:7">
      <c r="A18" s="661" t="s">
        <v>266</v>
      </c>
    </row>
  </sheetData>
  <mergeCells count="16">
    <mergeCell ref="C7:D7"/>
    <mergeCell ref="C8:D8"/>
    <mergeCell ref="A1:G1"/>
    <mergeCell ref="A2:G2"/>
    <mergeCell ref="A3:G3"/>
    <mergeCell ref="A4:G4"/>
    <mergeCell ref="A6:G6"/>
    <mergeCell ref="C16:D16"/>
    <mergeCell ref="C17:D17"/>
    <mergeCell ref="C9:D9"/>
    <mergeCell ref="C10:D10"/>
    <mergeCell ref="C11:D11"/>
    <mergeCell ref="C13:D13"/>
    <mergeCell ref="C14:D14"/>
    <mergeCell ref="C15:D15"/>
    <mergeCell ref="C12:D12"/>
  </mergeCells>
  <phoneticPr fontId="54" type="noConversion"/>
  <printOptions horizontalCentered="1"/>
  <pageMargins left="0" right="0" top="0.39370078740157483" bottom="0" header="0" footer="0"/>
  <pageSetup paperSize="9" scale="63" orientation="landscape"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63590D-1472-4428-90EE-70B7E43E533F}">
  <sheetPr>
    <pageSetUpPr fitToPage="1"/>
  </sheetPr>
  <dimension ref="A1:G17"/>
  <sheetViews>
    <sheetView view="pageBreakPreview" zoomScale="110" zoomScaleNormal="115" zoomScaleSheetLayoutView="110" workbookViewId="0">
      <selection activeCell="C10" sqref="C10"/>
    </sheetView>
  </sheetViews>
  <sheetFormatPr defaultRowHeight="13.2"/>
  <cols>
    <col min="1" max="2" width="12.5546875" customWidth="1"/>
    <col min="3" max="3" width="58.6640625" customWidth="1"/>
    <col min="4" max="4" width="7.88671875" customWidth="1"/>
    <col min="5" max="5" width="10.44140625" bestFit="1" customWidth="1"/>
    <col min="6" max="6" width="13.88671875" customWidth="1"/>
    <col min="7" max="7" width="13.44140625" bestFit="1" customWidth="1"/>
  </cols>
  <sheetData>
    <row r="1" spans="1:7" s="2" customFormat="1" ht="19.95" customHeight="1">
      <c r="A1" s="212" t="str">
        <f>'Planilha orçamentaria SINAPI'!A3:E3</f>
        <v>PREFEITURA: Prefeitura Municipal de Bocaina de Minas - MG</v>
      </c>
      <c r="B1" s="213"/>
      <c r="C1" s="213"/>
      <c r="D1" s="213"/>
      <c r="E1" s="213"/>
      <c r="F1" s="213"/>
      <c r="G1" s="218"/>
    </row>
    <row r="2" spans="1:7" s="2" customFormat="1" ht="19.95" customHeight="1">
      <c r="A2" s="219" t="str">
        <f>'Planilha orçamentaria SINAPI'!A4:E4</f>
        <v>OBRA:  Pavimentação de via rural - bloco intertravado - etapa 03</v>
      </c>
      <c r="B2" s="216"/>
      <c r="C2" s="216"/>
      <c r="D2" s="216"/>
      <c r="E2" s="216"/>
      <c r="F2" s="216"/>
      <c r="G2" s="215"/>
    </row>
    <row r="3" spans="1:7" s="2" customFormat="1" ht="19.95" customHeight="1">
      <c r="A3" s="219" t="str">
        <f>'Planilha orçamentaria SINAPI'!A5:E5</f>
        <v>LOCAL: Continuação estrada de ligação entre Bocaina de Minas e Resende - Bocaina de Minas /MG</v>
      </c>
      <c r="B3" s="214"/>
      <c r="C3" s="214"/>
      <c r="D3" s="216"/>
      <c r="E3" s="216"/>
      <c r="F3" s="216"/>
      <c r="G3" s="215"/>
    </row>
    <row r="4" spans="1:7" s="2" customFormat="1" ht="19.95" customHeight="1">
      <c r="A4" s="654" t="str">
        <f>'Planilha orçamentaria SINAPI'!A6:E6</f>
        <v>REGIÃO/MÊS DE REFERÊNCIA: SINAPI FEVEREIRO/2025 PREÇO DE CUSTO COM DESONERAÇÃO FISCAL - LEI 12.546/2011 e 12.844/2013</v>
      </c>
      <c r="B4" s="655"/>
      <c r="C4" s="655"/>
      <c r="D4" s="655"/>
      <c r="E4" s="655"/>
      <c r="F4" s="655"/>
      <c r="G4" s="656"/>
    </row>
    <row r="5" spans="1:7" s="2" customFormat="1" ht="19.95" customHeight="1" thickBot="1">
      <c r="A5" s="210" t="str">
        <f>'Planilha orçamentaria SINAPI'!A7:E7</f>
        <v>PRAZO DE EXECUÇÃO: 4 Meses</v>
      </c>
      <c r="B5" s="209"/>
      <c r="C5" s="209"/>
      <c r="D5" s="209"/>
      <c r="E5" s="209"/>
      <c r="F5" s="209"/>
      <c r="G5" s="217"/>
    </row>
    <row r="6" spans="1:7" ht="22.5" customHeight="1" thickBot="1">
      <c r="A6" s="657" t="s">
        <v>267</v>
      </c>
      <c r="B6" s="658"/>
      <c r="C6" s="658"/>
      <c r="D6" s="658"/>
      <c r="E6" s="658"/>
      <c r="F6" s="659" t="str">
        <f>'[4]Modelo Planilha Orcamentaria'!F4</f>
        <v>DATA: 26/03/2026</v>
      </c>
      <c r="G6" s="660"/>
    </row>
    <row r="7" spans="1:7" ht="22.5" customHeight="1" thickBot="1">
      <c r="A7" s="230"/>
      <c r="B7" s="231"/>
      <c r="C7" s="232" t="s">
        <v>38</v>
      </c>
      <c r="D7" s="233" t="s">
        <v>3</v>
      </c>
      <c r="E7" s="233" t="s">
        <v>39</v>
      </c>
      <c r="F7" s="234" t="s">
        <v>40</v>
      </c>
      <c r="G7" s="235" t="s">
        <v>41</v>
      </c>
    </row>
    <row r="8" spans="1:7" ht="45" customHeight="1">
      <c r="A8" s="236"/>
      <c r="B8" s="227" t="s">
        <v>42</v>
      </c>
      <c r="C8" s="237" t="s">
        <v>268</v>
      </c>
      <c r="D8" s="220" t="s">
        <v>14</v>
      </c>
      <c r="E8" s="228">
        <v>46054</v>
      </c>
      <c r="F8" s="229" t="s">
        <v>269</v>
      </c>
      <c r="G8" s="238">
        <f>SUM(G10:G13)</f>
        <v>247.14075000000003</v>
      </c>
    </row>
    <row r="9" spans="1:7" ht="22.5" customHeight="1">
      <c r="A9" s="239"/>
      <c r="B9" s="222" t="s">
        <v>4</v>
      </c>
      <c r="C9" s="221" t="s">
        <v>43</v>
      </c>
      <c r="D9" s="223" t="s">
        <v>3</v>
      </c>
      <c r="E9" s="223" t="s">
        <v>44</v>
      </c>
      <c r="F9" s="223" t="s">
        <v>45</v>
      </c>
      <c r="G9" s="240" t="s">
        <v>46</v>
      </c>
    </row>
    <row r="10" spans="1:7" ht="40.049999999999997" customHeight="1">
      <c r="A10" s="253" t="s">
        <v>269</v>
      </c>
      <c r="B10" s="254">
        <v>94273</v>
      </c>
      <c r="C10" s="255" t="s">
        <v>270</v>
      </c>
      <c r="D10" s="256" t="s">
        <v>13</v>
      </c>
      <c r="E10" s="257">
        <v>2</v>
      </c>
      <c r="F10" s="258">
        <v>67.680000000000007</v>
      </c>
      <c r="G10" s="241">
        <f>E10*F10</f>
        <v>135.36000000000001</v>
      </c>
    </row>
    <row r="11" spans="1:7" ht="30" customHeight="1">
      <c r="A11" s="253" t="s">
        <v>269</v>
      </c>
      <c r="B11" s="254">
        <v>94287</v>
      </c>
      <c r="C11" s="255" t="s">
        <v>87</v>
      </c>
      <c r="D11" s="256" t="s">
        <v>13</v>
      </c>
      <c r="E11" s="257">
        <v>1.8</v>
      </c>
      <c r="F11" s="258">
        <v>36.409999999999997</v>
      </c>
      <c r="G11" s="241">
        <f>E11*F11</f>
        <v>65.537999999999997</v>
      </c>
    </row>
    <row r="12" spans="1:7" ht="19.95" customHeight="1">
      <c r="A12" s="253" t="s">
        <v>271</v>
      </c>
      <c r="B12" s="254">
        <v>4734</v>
      </c>
      <c r="C12" s="255" t="s">
        <v>272</v>
      </c>
      <c r="D12" s="256" t="s">
        <v>70</v>
      </c>
      <c r="E12" s="257">
        <f>1*0.5*0.05</f>
        <v>2.5000000000000001E-2</v>
      </c>
      <c r="F12" s="258">
        <v>434.91</v>
      </c>
      <c r="G12" s="241">
        <f>E12*F12</f>
        <v>10.872750000000002</v>
      </c>
    </row>
    <row r="13" spans="1:7" ht="19.95" customHeight="1">
      <c r="A13" s="253" t="s">
        <v>269</v>
      </c>
      <c r="B13" s="254">
        <v>88316</v>
      </c>
      <c r="C13" s="255" t="s">
        <v>273</v>
      </c>
      <c r="D13" s="256" t="s">
        <v>47</v>
      </c>
      <c r="E13" s="257">
        <v>1.5</v>
      </c>
      <c r="F13" s="258">
        <v>23.58</v>
      </c>
      <c r="G13" s="241">
        <f>E13*F13</f>
        <v>35.369999999999997</v>
      </c>
    </row>
    <row r="14" spans="1:7" ht="37.200000000000003" customHeight="1">
      <c r="A14" s="242"/>
      <c r="B14" s="224"/>
      <c r="C14" s="225"/>
      <c r="D14" s="226"/>
      <c r="E14" s="226"/>
      <c r="F14" s="226"/>
      <c r="G14" s="243"/>
    </row>
    <row r="15" spans="1:7">
      <c r="A15" s="244"/>
      <c r="B15" s="245"/>
      <c r="C15" s="246" t="s">
        <v>274</v>
      </c>
      <c r="D15" s="245"/>
      <c r="E15" s="247"/>
      <c r="F15" s="245"/>
      <c r="G15" s="248"/>
    </row>
    <row r="16" spans="1:7">
      <c r="A16" s="244"/>
      <c r="B16" s="245"/>
      <c r="C16" s="249" t="s">
        <v>275</v>
      </c>
      <c r="D16" s="245"/>
      <c r="E16" s="247"/>
      <c r="F16" s="245"/>
      <c r="G16" s="248"/>
    </row>
    <row r="17" spans="1:7" ht="14.4" thickBot="1">
      <c r="A17" s="250"/>
      <c r="B17" s="251"/>
      <c r="C17" s="211" t="s">
        <v>276</v>
      </c>
      <c r="D17" s="251"/>
      <c r="E17" s="251"/>
      <c r="F17" s="251"/>
      <c r="G17" s="252"/>
    </row>
  </sheetData>
  <mergeCells count="3">
    <mergeCell ref="A4:G4"/>
    <mergeCell ref="A6:E6"/>
    <mergeCell ref="F6:G6"/>
  </mergeCells>
  <pageMargins left="0.511811024" right="0.511811024" top="0.78740157499999996" bottom="0.78740157499999996" header="0.31496062000000002" footer="0.31496062000000002"/>
  <pageSetup paperSize="9" scale="72" orientation="portrait" horizontalDpi="1200" verticalDpi="1200"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Planilhas</vt:lpstr>
      </vt:variant>
      <vt:variant>
        <vt:i4>14</vt:i4>
      </vt:variant>
      <vt:variant>
        <vt:lpstr>Intervalos Nomeados</vt:lpstr>
      </vt:variant>
      <vt:variant>
        <vt:i4>5</vt:i4>
      </vt:variant>
    </vt:vector>
  </HeadingPairs>
  <TitlesOfParts>
    <vt:vector size="19" baseType="lpstr">
      <vt:lpstr>BM 01</vt:lpstr>
      <vt:lpstr>BM 02</vt:lpstr>
      <vt:lpstr>CC</vt:lpstr>
      <vt:lpstr>BM 03</vt:lpstr>
      <vt:lpstr>BM 04</vt:lpstr>
      <vt:lpstr>Planilha orçamentaria </vt:lpstr>
      <vt:lpstr>MC</vt:lpstr>
      <vt:lpstr>CFF</vt:lpstr>
      <vt:lpstr>COMPOSIÇÃO BDI</vt:lpstr>
      <vt:lpstr>COMPOSIÇÃO BDI </vt:lpstr>
      <vt:lpstr>Planilha orçamentaria SINAPI</vt:lpstr>
      <vt:lpstr>CFF SINAPI</vt:lpstr>
      <vt:lpstr>MC SINAPI</vt:lpstr>
      <vt:lpstr>Composições</vt:lpstr>
      <vt:lpstr>'CFF SINAPI'!Area_de_impressao</vt:lpstr>
      <vt:lpstr>'COMPOSIÇÃO BDI '!Area_de_impressao</vt:lpstr>
      <vt:lpstr>Composições!Area_de_impressao</vt:lpstr>
      <vt:lpstr>'MC SINAPI'!Area_de_impressao</vt:lpstr>
      <vt:lpstr>'Planilha orçamentaria SINAPI'!Area_de_impressao</vt:lpstr>
    </vt:vector>
  </TitlesOfParts>
  <Manager/>
  <Company>Setop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Setop</dc:creator>
  <cp:keywords/>
  <dc:description/>
  <cp:lastModifiedBy>PRISCILA DE PAULA</cp:lastModifiedBy>
  <cp:lastPrinted>2026-06-02T17:45:39Z</cp:lastPrinted>
  <dcterms:created xsi:type="dcterms:W3CDTF">2006-09-22T13:55:22Z</dcterms:created>
  <dcterms:modified xsi:type="dcterms:W3CDTF">2026-06-02T17:45:52Z</dcterms:modified>
  <cp:category/>
</cp:coreProperties>
</file>