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neDrive\NOTEBOOK DELL\HD DO NOTEBOOK\HD EXTERNO 2022\2026\PM BOCAINA\CALÇAMENTO MATÃO\"/>
    </mc:Choice>
  </mc:AlternateContent>
  <xr:revisionPtr revIDLastSave="0" documentId="13_ncr:1_{AF1D3599-AE4A-4635-B638-3E4227065A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camentária" sheetId="5" r:id="rId1"/>
    <sheet name="BM 01" sheetId="15" state="hidden" r:id="rId2"/>
    <sheet name="Memória de Cálculo" sheetId="9" r:id="rId3"/>
    <sheet name="Cronograma" sheetId="10" r:id="rId4"/>
    <sheet name="COMPOSIÇÃO BDI" sheetId="19" r:id="rId5"/>
    <sheet name="BDI" sheetId="14" state="hidden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_sub1" localSheetId="5">#REF!</definedName>
    <definedName name="___sub1">#REF!</definedName>
    <definedName name="___sub2" localSheetId="5">#REF!</definedName>
    <definedName name="___sub2">#REF!</definedName>
    <definedName name="___sub3" localSheetId="5">#REF!</definedName>
    <definedName name="___sub3">#REF!</definedName>
    <definedName name="__sub1" localSheetId="2">#REF!</definedName>
    <definedName name="__sub2" localSheetId="2">#REF!</definedName>
    <definedName name="__sub3" localSheetId="2">#REF!</definedName>
    <definedName name="_xlnm._FilterDatabase" localSheetId="2" hidden="1">'Memória de Cálculo'!$S$1:$S$13</definedName>
    <definedName name="_sub1" localSheetId="5">#REF!</definedName>
    <definedName name="_sub1">#REF!</definedName>
    <definedName name="_sub2" localSheetId="5">#REF!</definedName>
    <definedName name="_sub2">#REF!</definedName>
    <definedName name="_sub3">#REF!</definedName>
    <definedName name="a" localSheetId="2">#REF!</definedName>
    <definedName name="a">#REF!</definedName>
    <definedName name="AA" localSheetId="5" hidden="1">{#N/A,#N/A,FALSE,"ALVENARIA";#N/A,#N/A,FALSE,"BLOCOS";#N/A,#N/A,FALSE,"CINTAS";#N/A,#N/A,FALSE,"CORTINA";#N/A,#N/A,FALSE,"LAJES";#N/A,#N/A,FALSE,"PILARES";#N/A,#N/A,FALSE,"VIGAS"}</definedName>
    <definedName name="AA" localSheetId="4" hidden="1">{#N/A,#N/A,FALSE,"ALVENARIA";#N/A,#N/A,FALSE,"BLOCOS";#N/A,#N/A,FALSE,"CINTAS";#N/A,#N/A,FALSE,"CORTINA";#N/A,#N/A,FALSE,"LAJES";#N/A,#N/A,FALSE,"PILARES";#N/A,#N/A,FALSE,"VIGAS"}</definedName>
    <definedName name="AA" localSheetId="2" hidden="1">{#N/A,#N/A,FALSE,"ALVENARIA";#N/A,#N/A,FALSE,"BLOCOS";#N/A,#N/A,FALSE,"CINTAS";#N/A,#N/A,FALSE,"CORTINA";#N/A,#N/A,FALSE,"LAJES";#N/A,#N/A,FALSE,"PILARES";#N/A,#N/A,FALSE,"VIGAS"}</definedName>
    <definedName name="AA" hidden="1">{#N/A,#N/A,FALSE,"ALVENARIA";#N/A,#N/A,FALSE,"BLOCOS";#N/A,#N/A,FALSE,"CINTAS";#N/A,#N/A,FALSE,"CORTINA";#N/A,#N/A,FALSE,"LAJES";#N/A,#N/A,FALSE,"PILARES";#N/A,#N/A,FALSE,"VIGAS"}</definedName>
    <definedName name="AREA" localSheetId="2">#REF!</definedName>
    <definedName name="AREA">#REF!</definedName>
    <definedName name="_xlnm.Print_Area" localSheetId="4">'COMPOSIÇÃO BDI'!$A$1:$J$51</definedName>
    <definedName name="_xlnm.Print_Area" localSheetId="3">Cronograma!$A$1:$H$38</definedName>
    <definedName name="_xlnm.Print_Area" localSheetId="2">'Memória de Cálculo'!$A$1:$K$143</definedName>
    <definedName name="_xlnm.Print_Area" localSheetId="0">'Planilha Orcamentária'!$A$1:$I$61</definedName>
    <definedName name="B" localSheetId="5">#REF!</definedName>
    <definedName name="B" localSheetId="2">#REF!</definedName>
    <definedName name="B">#REF!</definedName>
    <definedName name="_xlnm.Database">TEXT([1]Dados!$G$29,"mm-aaaa")</definedName>
    <definedName name="BDI" localSheetId="5">#REF!</definedName>
    <definedName name="BDI" localSheetId="2">#REF!</definedName>
    <definedName name="BDI">#REF!</definedName>
    <definedName name="BDI.Opcao" hidden="1">[2]DADOS!$C$18</definedName>
    <definedName name="BDI.TipoObra" hidden="1">[2]BDI!$A$138:$A$146</definedName>
    <definedName name="BDI_2.Título" hidden="1">'COMPOSIÇÃO BDI'!$J$55</definedName>
    <definedName name="BDI_3.Título" hidden="1">'COMPOSIÇÃO BDI'!$J$95</definedName>
    <definedName name="CalculoFossa20" localSheetId="5" hidden="1">{#N/A,#N/A,FALSE,"ALVENARIA";#N/A,#N/A,FALSE,"BLOCOS";#N/A,#N/A,FALSE,"CINTAS";#N/A,#N/A,FALSE,"CORTINA";#N/A,#N/A,FALSE,"LAJES";#N/A,#N/A,FALSE,"PILARES";#N/A,#N/A,FALSE,"VIGAS"}</definedName>
    <definedName name="CalculoFossa20" localSheetId="4" hidden="1">{#N/A,#N/A,FALSE,"ALVENARIA";#N/A,#N/A,FALSE,"BLOCOS";#N/A,#N/A,FALSE,"CINTAS";#N/A,#N/A,FALSE,"CORTINA";#N/A,#N/A,FALSE,"LAJES";#N/A,#N/A,FALSE,"PILARES";#N/A,#N/A,FALSE,"VIGAS"}</definedName>
    <definedName name="CalculoFossa20" localSheetId="2" hidden="1">{#N/A,#N/A,FALSE,"ALVENARIA";#N/A,#N/A,FALSE,"BLOCOS";#N/A,#N/A,FALSE,"CINTAS";#N/A,#N/A,FALSE,"CORTINA";#N/A,#N/A,FALSE,"LAJES";#N/A,#N/A,FALSE,"PILARES";#N/A,#N/A,FALSE,"VIGAS"}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localSheetId="5" hidden="1">{#N/A,#N/A,FALSE,"ALVENARIA";#N/A,#N/A,FALSE,"BLOCOS";#N/A,#N/A,FALSE,"CINTAS";#N/A,#N/A,FALSE,"CORTINA";#N/A,#N/A,FALSE,"LAJES";#N/A,#N/A,FALSE,"PILARES";#N/A,#N/A,FALSE,"VIGAS"}</definedName>
    <definedName name="Cedro1COMPLETO" localSheetId="4" hidden="1">{#N/A,#N/A,FALSE,"ALVENARIA";#N/A,#N/A,FALSE,"BLOCOS";#N/A,#N/A,FALSE,"CINTAS";#N/A,#N/A,FALSE,"CORTINA";#N/A,#N/A,FALSE,"LAJES";#N/A,#N/A,FALSE,"PILARES";#N/A,#N/A,FALSE,"VIGAS"}</definedName>
    <definedName name="Cedro1COMPLETO" localSheetId="2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localSheetId="5" hidden="1">{#N/A,#N/A,FALSE,"ALVENARIA";#N/A,#N/A,FALSE,"BLOCOS";#N/A,#N/A,FALSE,"CINTAS";#N/A,#N/A,FALSE,"CORTINA";#N/A,#N/A,FALSE,"LAJES";#N/A,#N/A,FALSE,"PILARES";#N/A,#N/A,FALSE,"VIGAS"}</definedName>
    <definedName name="ciclovia" localSheetId="4" hidden="1">{#N/A,#N/A,FALSE,"ALVENARIA";#N/A,#N/A,FALSE,"BLOCOS";#N/A,#N/A,FALSE,"CINTAS";#N/A,#N/A,FALSE,"CORTINA";#N/A,#N/A,FALSE,"LAJES";#N/A,#N/A,FALSE,"PILARES";#N/A,#N/A,FALSE,"VIGAS"}</definedName>
    <definedName name="ciclovia" localSheetId="2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localSheetId="5" hidden="1">{#N/A,#N/A,FALSE,"ALVENARIA";#N/A,#N/A,FALSE,"BLOCOS";#N/A,#N/A,FALSE,"CINTAS";#N/A,#N/A,FALSE,"CORTINA";#N/A,#N/A,FALSE,"LAJES";#N/A,#N/A,FALSE,"PILARES";#N/A,#N/A,FALSE,"VIGAS"}</definedName>
    <definedName name="ciclovia2" localSheetId="4" hidden="1">{#N/A,#N/A,FALSE,"ALVENARIA";#N/A,#N/A,FALSE,"BLOCOS";#N/A,#N/A,FALSE,"CINTAS";#N/A,#N/A,FALSE,"CORTINA";#N/A,#N/A,FALSE,"LAJES";#N/A,#N/A,FALSE,"PILARES";#N/A,#N/A,FALSE,"VIGAS"}</definedName>
    <definedName name="ciclovia2" localSheetId="2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localSheetId="5" hidden="1">{#N/A,#N/A,FALSE,"ALVENARIA";#N/A,#N/A,FALSE,"BLOCOS";#N/A,#N/A,FALSE,"CINTAS";#N/A,#N/A,FALSE,"CORTINA";#N/A,#N/A,FALSE,"LAJES";#N/A,#N/A,FALSE,"PILARES";#N/A,#N/A,FALSE,"VIGAS"}</definedName>
    <definedName name="ciclovia3" localSheetId="4" hidden="1">{#N/A,#N/A,FALSE,"ALVENARIA";#N/A,#N/A,FALSE,"BLOCOS";#N/A,#N/A,FALSE,"CINTAS";#N/A,#N/A,FALSE,"CORTINA";#N/A,#N/A,FALSE,"LAJES";#N/A,#N/A,FALSE,"PILARES";#N/A,#N/A,FALSE,"VIGAS"}</definedName>
    <definedName name="ciclovia3" localSheetId="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localSheetId="5" hidden="1">{#N/A,#N/A,FALSE,"ALVENARIA";#N/A,#N/A,FALSE,"BLOCOS";#N/A,#N/A,FALSE,"CINTAS";#N/A,#N/A,FALSE,"CORTINA";#N/A,#N/A,FALSE,"LAJES";#N/A,#N/A,FALSE,"PILARES";#N/A,#N/A,FALSE,"VIGAS"}</definedName>
    <definedName name="ciclovia4" localSheetId="4" hidden="1">{#N/A,#N/A,FALSE,"ALVENARIA";#N/A,#N/A,FALSE,"BLOCOS";#N/A,#N/A,FALSE,"CINTAS";#N/A,#N/A,FALSE,"CORTINA";#N/A,#N/A,FALSE,"LAJES";#N/A,#N/A,FALSE,"PILARES";#N/A,#N/A,FALSE,"VIGAS"}</definedName>
    <definedName name="ciclovia4" localSheetId="2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localSheetId="5" hidden="1">{#N/A,#N/A,FALSE,"ALVENARIA";#N/A,#N/A,FALSE,"BLOCOS";#N/A,#N/A,FALSE,"CINTAS";#N/A,#N/A,FALSE,"CORTINA";#N/A,#N/A,FALSE,"LAJES";#N/A,#N/A,FALSE,"PILARES";#N/A,#N/A,FALSE,"VIGAS"}</definedName>
    <definedName name="ciclovia5" localSheetId="4" hidden="1">{#N/A,#N/A,FALSE,"ALVENARIA";#N/A,#N/A,FALSE,"BLOCOS";#N/A,#N/A,FALSE,"CINTAS";#N/A,#N/A,FALSE,"CORTINA";#N/A,#N/A,FALSE,"LAJES";#N/A,#N/A,FALSE,"PILARES";#N/A,#N/A,FALSE,"VIGAS"}</definedName>
    <definedName name="ciclovia5" localSheetId="2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localSheetId="5" hidden="1">{#N/A,#N/A,FALSE,"ALVENARIA";#N/A,#N/A,FALSE,"BLOCOS";#N/A,#N/A,FALSE,"CINTAS";#N/A,#N/A,FALSE,"CORTINA";#N/A,#N/A,FALSE,"LAJES";#N/A,#N/A,FALSE,"PILARES";#N/A,#N/A,FALSE,"VIGAS"}</definedName>
    <definedName name="ciclovia6" localSheetId="4" hidden="1">{#N/A,#N/A,FALSE,"ALVENARIA";#N/A,#N/A,FALSE,"BLOCOS";#N/A,#N/A,FALSE,"CINTAS";#N/A,#N/A,FALSE,"CORTINA";#N/A,#N/A,FALSE,"LAJES";#N/A,#N/A,FALSE,"PILARES";#N/A,#N/A,FALSE,"VIGAS"}</definedName>
    <definedName name="ciclovia6" localSheetId="2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localSheetId="5" hidden="1">{#N/A,#N/A,FALSE,"ALVENARIA";#N/A,#N/A,FALSE,"BLOCOS";#N/A,#N/A,FALSE,"CINTAS";#N/A,#N/A,FALSE,"CORTINA";#N/A,#N/A,FALSE,"LAJES";#N/A,#N/A,FALSE,"PILARES";#N/A,#N/A,FALSE,"VIGAS"}</definedName>
    <definedName name="ciclovia7" localSheetId="4" hidden="1">{#N/A,#N/A,FALSE,"ALVENARIA";#N/A,#N/A,FALSE,"BLOCOS";#N/A,#N/A,FALSE,"CINTAS";#N/A,#N/A,FALSE,"CORTINA";#N/A,#N/A,FALSE,"LAJES";#N/A,#N/A,FALSE,"PILARES";#N/A,#N/A,FALSE,"VIGAS"}</definedName>
    <definedName name="ciclovia7" localSheetId="2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localSheetId="5" hidden="1">{#N/A,#N/A,FALSE,"ALVENARIA";#N/A,#N/A,FALSE,"BLOCOS";#N/A,#N/A,FALSE,"CINTAS";#N/A,#N/A,FALSE,"CORTINA";#N/A,#N/A,FALSE,"LAJES";#N/A,#N/A,FALSE,"PILARES";#N/A,#N/A,FALSE,"VIGAS"}</definedName>
    <definedName name="ciclovia8" localSheetId="4" hidden="1">{#N/A,#N/A,FALSE,"ALVENARIA";#N/A,#N/A,FALSE,"BLOCOS";#N/A,#N/A,FALSE,"CINTAS";#N/A,#N/A,FALSE,"CORTINA";#N/A,#N/A,FALSE,"LAJES";#N/A,#N/A,FALSE,"PILARES";#N/A,#N/A,FALSE,"VIGAS"}</definedName>
    <definedName name="ciclovia8" localSheetId="2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localSheetId="5" hidden="1">{#N/A,#N/A,FALSE,"ALVENARIA";#N/A,#N/A,FALSE,"BLOCOS";#N/A,#N/A,FALSE,"CINTAS";#N/A,#N/A,FALSE,"CORTINA";#N/A,#N/A,FALSE,"LAJES";#N/A,#N/A,FALSE,"PILARES";#N/A,#N/A,FALSE,"VIGAS"}</definedName>
    <definedName name="cotação" localSheetId="4" hidden="1">{#N/A,#N/A,FALSE,"ALVENARIA";#N/A,#N/A,FALSE,"BLOCOS";#N/A,#N/A,FALSE,"CINTAS";#N/A,#N/A,FALSE,"CORTINA";#N/A,#N/A,FALSE,"LAJES";#N/A,#N/A,FALSE,"PILARES";#N/A,#N/A,FALSE,"VIGAS"}</definedName>
    <definedName name="cotação" localSheetId="2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localSheetId="5" hidden="1">{#N/A,#N/A,FALSE,"ALVENARIA";#N/A,#N/A,FALSE,"BLOCOS";#N/A,#N/A,FALSE,"CINTAS";#N/A,#N/A,FALSE,"CORTINA";#N/A,#N/A,FALSE,"LAJES";#N/A,#N/A,FALSE,"PILARES";#N/A,#N/A,FALSE,"VIGAS"}</definedName>
    <definedName name="ddd" localSheetId="4" hidden="1">{#N/A,#N/A,FALSE,"ALVENARIA";#N/A,#N/A,FALSE,"BLOCOS";#N/A,#N/A,FALSE,"CINTAS";#N/A,#N/A,FALSE,"CORTINA";#N/A,#N/A,FALSE,"LAJES";#N/A,#N/A,FALSE,"PILARES";#N/A,#N/A,FALSE,"VIGAS"}</definedName>
    <definedName name="ddd" localSheetId="2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ESONERACAO" hidden="1">IF(OR(Import.Desoneracao="DESONERADO",Import.Desoneracao="SIM"),"SIM","NÃO")</definedName>
    <definedName name="DOLAR">[3]INSUMOS!$G$8</definedName>
    <definedName name="ersdcefgbrnghrbgbrgfbgfwbvbfgvwfv" localSheetId="5">#REF!</definedName>
    <definedName name="ersdcefgbrnghrbgbrgfbgfwbvbfgvwfv">#REF!</definedName>
    <definedName name="Excel_BuiltIn_Print_Area_2" localSheetId="5">#REF!</definedName>
    <definedName name="Excel_BuiltIn_Print_Area_2">#REF!</definedName>
    <definedName name="Excel_BuiltIn_Print_Area_2_1" localSheetId="5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nte">#REF!</definedName>
    <definedName name="Fossa20" localSheetId="5" hidden="1">{#N/A,#N/A,FALSE,"ALVENARIA";#N/A,#N/A,FALSE,"BLOCOS";#N/A,#N/A,FALSE,"CINTAS";#N/A,#N/A,FALSE,"CORTINA";#N/A,#N/A,FALSE,"LAJES";#N/A,#N/A,FALSE,"PILARES";#N/A,#N/A,FALSE,"VIGAS"}</definedName>
    <definedName name="Fossa20" localSheetId="4" hidden="1">{#N/A,#N/A,FALSE,"ALVENARIA";#N/A,#N/A,FALSE,"BLOCOS";#N/A,#N/A,FALSE,"CINTAS";#N/A,#N/A,FALSE,"CORTINA";#N/A,#N/A,FALSE,"LAJES";#N/A,#N/A,FALSE,"PILARES";#N/A,#N/A,FALSE,"VIGAS"}</definedName>
    <definedName name="Fossa20" localSheetId="2" hidden="1">{#N/A,#N/A,FALSE,"ALVENARIA";#N/A,#N/A,FALSE,"BLOCOS";#N/A,#N/A,FALSE,"CINTAS";#N/A,#N/A,FALSE,"CORTINA";#N/A,#N/A,FALSE,"LAJES";#N/A,#N/A,FALSE,"PILARES";#N/A,#N/A,FALSE,"VIGAS"}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localSheetId="5" hidden="1">{#N/A,#N/A,FALSE,"ALVENARIA";#N/A,#N/A,FALSE,"BLOCOS";#N/A,#N/A,FALSE,"CINTAS";#N/A,#N/A,FALSE,"CORTINA";#N/A,#N/A,FALSE,"LAJES";#N/A,#N/A,FALSE,"PILARES";#N/A,#N/A,FALSE,"VIGAS"}</definedName>
    <definedName name="fran" localSheetId="4" hidden="1">{#N/A,#N/A,FALSE,"ALVENARIA";#N/A,#N/A,FALSE,"BLOCOS";#N/A,#N/A,FALSE,"CINTAS";#N/A,#N/A,FALSE,"CORTINA";#N/A,#N/A,FALSE,"LAJES";#N/A,#N/A,FALSE,"PILARES";#N/A,#N/A,FALSE,"VIGAS"}</definedName>
    <definedName name="fran" localSheetId="2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Import.Apelido" hidden="1">[2]DADOS!$C$16</definedName>
    <definedName name="Import.BDI.Tipo2" hidden="1">'COMPOSIÇÃO BDI'!$J$58</definedName>
    <definedName name="Import.BDI.Tipo3" hidden="1">'COMPOSIÇÃO BDI'!$J$98</definedName>
    <definedName name="Import.CR" hidden="1">[2]DADOS!$C$7</definedName>
    <definedName name="Import.DataBase" hidden="1">OFFSET([2]DADOS!$D$19,0,-1)</definedName>
    <definedName name="Import.DescLote" hidden="1">[2]DADOS!$C$17</definedName>
    <definedName name="Import.Desoneracao" hidden="1">OFFSET([2]DADOS!$D$18,0,-1)</definedName>
    <definedName name="Import.Município" hidden="1">[2]DADOS!$C$6</definedName>
    <definedName name="Import.Proponente" hidden="1">[2]DADOS!$C$5</definedName>
    <definedName name="Import.RespOrçamento" hidden="1">[2]DADOS!$C$22:$C$24</definedName>
    <definedName name="Import.TransfereGOV" hidden="1">[2]DADOS!$C$8</definedName>
    <definedName name="INSUMOS">#REF!</definedName>
    <definedName name="leosde" localSheetId="5">#REF!</definedName>
    <definedName name="leosde">#REF!</definedName>
    <definedName name="mac" localSheetId="5" hidden="1">{#N/A,#N/A,FALSE,"ALVENARIA";#N/A,#N/A,FALSE,"BLOCOS";#N/A,#N/A,FALSE,"CINTAS";#N/A,#N/A,FALSE,"CORTINA";#N/A,#N/A,FALSE,"LAJES";#N/A,#N/A,FALSE,"PILARES";#N/A,#N/A,FALSE,"VIGAS"}</definedName>
    <definedName name="mac" localSheetId="4" hidden="1">{#N/A,#N/A,FALSE,"ALVENARIA";#N/A,#N/A,FALSE,"BLOCOS";#N/A,#N/A,FALSE,"CINTAS";#N/A,#N/A,FALSE,"CORTINA";#N/A,#N/A,FALSE,"LAJES";#N/A,#N/A,FALSE,"PILARES";#N/A,#N/A,FALSE,"VIGAS"}</definedName>
    <definedName name="mac" localSheetId="2" hidden="1">{#N/A,#N/A,FALSE,"ALVENARIA";#N/A,#N/A,FALSE,"BLOCOS";#N/A,#N/A,FALSE,"CINTAS";#N/A,#N/A,FALSE,"CORTINA";#N/A,#N/A,FALSE,"LAJES";#N/A,#N/A,FALSE,"PILARES";#N/A,#N/A,FALSE,"VIGAS"}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localSheetId="5" hidden="1">{#N/A,#N/A,FALSE,"ALVENARIA";#N/A,#N/A,FALSE,"BLOCOS";#N/A,#N/A,FALSE,"CINTAS";#N/A,#N/A,FALSE,"CORTINA";#N/A,#N/A,FALSE,"LAJES";#N/A,#N/A,FALSE,"PILARES";#N/A,#N/A,FALSE,"VIGAS"}</definedName>
    <definedName name="MACAHDO" localSheetId="4" hidden="1">{#N/A,#N/A,FALSE,"ALVENARIA";#N/A,#N/A,FALSE,"BLOCOS";#N/A,#N/A,FALSE,"CINTAS";#N/A,#N/A,FALSE,"CORTINA";#N/A,#N/A,FALSE,"LAJES";#N/A,#N/A,FALSE,"PILARES";#N/A,#N/A,FALSE,"VIGAS"}</definedName>
    <definedName name="MACAHDO" localSheetId="2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localSheetId="5" hidden="1">{#N/A,#N/A,FALSE,"ALVENARIA";#N/A,#N/A,FALSE,"BLOCOS";#N/A,#N/A,FALSE,"CINTAS";#N/A,#N/A,FALSE,"CORTINA";#N/A,#N/A,FALSE,"LAJES";#N/A,#N/A,FALSE,"PILARES";#N/A,#N/A,FALSE,"VIGAS"}</definedName>
    <definedName name="MACHADO" localSheetId="4" hidden="1">{#N/A,#N/A,FALSE,"ALVENARIA";#N/A,#N/A,FALSE,"BLOCOS";#N/A,#N/A,FALSE,"CINTAS";#N/A,#N/A,FALSE,"CORTINA";#N/A,#N/A,FALSE,"LAJES";#N/A,#N/A,FALSE,"PILARES";#N/A,#N/A,FALSE,"VIGAS"}</definedName>
    <definedName name="MACHADO" localSheetId="2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5" hidden="1">{#N/A,#N/A,FALSE,"ALVENARIA";#N/A,#N/A,FALSE,"BLOCOS";#N/A,#N/A,FALSE,"CINTAS";#N/A,#N/A,FALSE,"CORTINA";#N/A,#N/A,FALSE,"LAJES";#N/A,#N/A,FALSE,"PILARES";#N/A,#N/A,FALSE,"VIGAS"}</definedName>
    <definedName name="noo" localSheetId="4" hidden="1">{#N/A,#N/A,FALSE,"ALVENARIA";#N/A,#N/A,FALSE,"BLOCOS";#N/A,#N/A,FALSE,"CINTAS";#N/A,#N/A,FALSE,"CORTINA";#N/A,#N/A,FALSE,"LAJES";#N/A,#N/A,FALSE,"PILARES";#N/A,#N/A,FALSE,"VIGAS"}</definedName>
    <definedName name="noo" localSheetId="2" hidden="1">{#N/A,#N/A,FALSE,"ALVENARIA";#N/A,#N/A,FALSE,"BLOCOS";#N/A,#N/A,FALSE,"CINTAS";#N/A,#N/A,FALSE,"CORTINA";#N/A,#N/A,FALSE,"LAJES";#N/A,#N/A,FALSE,"PILARES";#N/A,#N/A,FALSE,"VIGAS"}</definedName>
    <definedName name="noo" hidden="1">{#N/A,#N/A,FALSE,"ALVENARIA";#N/A,#N/A,FALSE,"BLOCOS";#N/A,#N/A,FALSE,"CINTAS";#N/A,#N/A,FALSE,"CORTINA";#N/A,#N/A,FALSE,"LAJES";#N/A,#N/A,FALSE,"PILARES";#N/A,#N/A,FALSE,"VIGAS"}</definedName>
    <definedName name="obra" localSheetId="2">#REF!</definedName>
    <definedName name="obra">#REF!</definedName>
    <definedName name="obra1" localSheetId="2">#REF!</definedName>
    <definedName name="obra1">#REF!</definedName>
    <definedName name="obra2" localSheetId="2">#REF!</definedName>
    <definedName name="obra2">#REF!</definedName>
    <definedName name="obra3" localSheetId="2">#REF!</definedName>
    <definedName name="obra3">#REF!</definedName>
    <definedName name="obra4" localSheetId="2">#REF!</definedName>
    <definedName name="obra4">#REF!</definedName>
    <definedName name="obra5" localSheetId="2">#REF!</definedName>
    <definedName name="obra5">#REF!</definedName>
    <definedName name="orcamento" localSheetId="5" hidden="1">{#N/A,#N/A,FALSE,"ALVENARIA";#N/A,#N/A,FALSE,"BLOCOS";#N/A,#N/A,FALSE,"CINTAS";#N/A,#N/A,FALSE,"CORTINA";#N/A,#N/A,FALSE,"LAJES";#N/A,#N/A,FALSE,"PILARES";#N/A,#N/A,FALSE,"VIGAS"}</definedName>
    <definedName name="orcamento" localSheetId="4" hidden="1">{#N/A,#N/A,FALSE,"ALVENARIA";#N/A,#N/A,FALSE,"BLOCOS";#N/A,#N/A,FALSE,"CINTAS";#N/A,#N/A,FALSE,"CORTINA";#N/A,#N/A,FALSE,"LAJES";#N/A,#N/A,FALSE,"PILARES";#N/A,#N/A,FALSE,"VIGAS"}</definedName>
    <definedName name="orcamento" localSheetId="2" hidden="1">{#N/A,#N/A,FALSE,"ALVENARIA";#N/A,#N/A,FALSE,"BLOCOS";#N/A,#N/A,FALSE,"CINTAS";#N/A,#N/A,FALSE,"CORTINA";#N/A,#N/A,FALSE,"LAJES";#N/A,#N/A,FALSE,"PILARES";#N/A,#N/A,FALSE,"VIGAS"}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 localSheetId="2">#REF!</definedName>
    <definedName name="P.1">#REF!</definedName>
    <definedName name="P.10" localSheetId="2">#REF!</definedName>
    <definedName name="P.10">#REF!</definedName>
    <definedName name="P.11" localSheetId="2">#REF!</definedName>
    <definedName name="P.11">#REF!</definedName>
    <definedName name="P.12" localSheetId="2">#REF!</definedName>
    <definedName name="P.12">#REF!</definedName>
    <definedName name="P.13" localSheetId="2">#REF!</definedName>
    <definedName name="P.13">#REF!</definedName>
    <definedName name="P.14" localSheetId="2">#REF!</definedName>
    <definedName name="P.14">#REF!</definedName>
    <definedName name="P.15" localSheetId="2">#REF!</definedName>
    <definedName name="P.15">#REF!</definedName>
    <definedName name="P.2" localSheetId="2">#REF!</definedName>
    <definedName name="P.2">#REF!</definedName>
    <definedName name="P.3" localSheetId="2">#REF!</definedName>
    <definedName name="P.3">#REF!</definedName>
    <definedName name="P.4" localSheetId="2">#REF!</definedName>
    <definedName name="P.4">#REF!</definedName>
    <definedName name="P.5" localSheetId="2">#REF!</definedName>
    <definedName name="P.5">#REF!</definedName>
    <definedName name="P.6" localSheetId="2">#REF!</definedName>
    <definedName name="P.6">#REF!</definedName>
    <definedName name="P.7" localSheetId="2">#REF!</definedName>
    <definedName name="P.7">#REF!</definedName>
    <definedName name="P.8" localSheetId="2">#REF!</definedName>
    <definedName name="P.8">#REF!</definedName>
    <definedName name="P.9" localSheetId="2">#REF!</definedName>
    <definedName name="P.9">#REF!</definedName>
    <definedName name="Pedreiro_de_acabamento">[3]INSUMOS!$B$11</definedName>
    <definedName name="PP1.1" localSheetId="5">#REF!</definedName>
    <definedName name="PP1.1" localSheetId="2">#REF!</definedName>
    <definedName name="PP1.1">#REF!</definedName>
    <definedName name="PP1.10" localSheetId="2">#REF!</definedName>
    <definedName name="PP1.10">#REF!</definedName>
    <definedName name="PP1.11" localSheetId="2">#REF!</definedName>
    <definedName name="PP1.11">#REF!</definedName>
    <definedName name="PP1.12" localSheetId="2">#REF!</definedName>
    <definedName name="PP1.12">#REF!</definedName>
    <definedName name="PP1.13" localSheetId="2">#REF!</definedName>
    <definedName name="PP1.13">#REF!</definedName>
    <definedName name="PP1.14" localSheetId="2">#REF!</definedName>
    <definedName name="PP1.14">#REF!</definedName>
    <definedName name="PP1.15" localSheetId="2">#REF!</definedName>
    <definedName name="PP1.15">#REF!</definedName>
    <definedName name="PP1.2" localSheetId="2">#REF!</definedName>
    <definedName name="PP1.2">#REF!</definedName>
    <definedName name="PP1.3" localSheetId="2">#REF!</definedName>
    <definedName name="PP1.3">#REF!</definedName>
    <definedName name="PP1.4" localSheetId="2">#REF!</definedName>
    <definedName name="PP1.4">#REF!</definedName>
    <definedName name="PP1.5" localSheetId="2">#REF!</definedName>
    <definedName name="PP1.5">#REF!</definedName>
    <definedName name="PP1.6" localSheetId="2">#REF!</definedName>
    <definedName name="PP1.6">#REF!</definedName>
    <definedName name="PP1.7" localSheetId="2">#REF!</definedName>
    <definedName name="PP1.7">#REF!</definedName>
    <definedName name="PP1.8" localSheetId="2">#REF!</definedName>
    <definedName name="PP1.8">#REF!</definedName>
    <definedName name="PP1.9" localSheetId="2">#REF!</definedName>
    <definedName name="PP1.9">#REF!</definedName>
    <definedName name="T.1" localSheetId="2">#REF!</definedName>
    <definedName name="T.1">#REF!</definedName>
    <definedName name="T.10" localSheetId="2">#REF!</definedName>
    <definedName name="T.10">#REF!</definedName>
    <definedName name="T.11" localSheetId="2">#REF!</definedName>
    <definedName name="T.11">#REF!</definedName>
    <definedName name="T.12" localSheetId="2">#REF!</definedName>
    <definedName name="T.12">#REF!</definedName>
    <definedName name="T.13" localSheetId="2">#REF!</definedName>
    <definedName name="T.13">#REF!</definedName>
    <definedName name="T.14" localSheetId="2">#REF!</definedName>
    <definedName name="T.14">#REF!</definedName>
    <definedName name="T.15" localSheetId="2">#REF!</definedName>
    <definedName name="T.15">#REF!</definedName>
    <definedName name="T.2" localSheetId="2">#REF!</definedName>
    <definedName name="T.2">#REF!</definedName>
    <definedName name="T.3" localSheetId="2">#REF!</definedName>
    <definedName name="T.3">#REF!</definedName>
    <definedName name="T.4" localSheetId="2">#REF!</definedName>
    <definedName name="T.4">#REF!</definedName>
    <definedName name="T.5" localSheetId="2">#REF!</definedName>
    <definedName name="T.5">#REF!</definedName>
    <definedName name="T.6" localSheetId="2">#REF!</definedName>
    <definedName name="T.6">#REF!</definedName>
    <definedName name="T.7" localSheetId="2">#REF!</definedName>
    <definedName name="T.7">#REF!</definedName>
    <definedName name="T.8" localSheetId="2">#REF!</definedName>
    <definedName name="T.8">#REF!</definedName>
    <definedName name="T.9" localSheetId="2">#REF!</definedName>
    <definedName name="T.9">#REF!</definedName>
    <definedName name="_xlnm.Print_Titles" localSheetId="0">'Planilha Orcamentária'!$1:$8</definedName>
    <definedName name="TOT.P" localSheetId="5">#REF!</definedName>
    <definedName name="TOT.P" localSheetId="2">#REF!</definedName>
    <definedName name="TOT.P">#REF!</definedName>
    <definedName name="TOT1.P" localSheetId="2">#REF!</definedName>
    <definedName name="TOT1.P">#REF!</definedName>
    <definedName name="TT.1" localSheetId="2">#REF!</definedName>
    <definedName name="TT.1">#REF!</definedName>
    <definedName name="TT.10" localSheetId="2">#REF!</definedName>
    <definedName name="TT.10">#REF!</definedName>
    <definedName name="TT.11" localSheetId="2">#REF!</definedName>
    <definedName name="TT.11">#REF!</definedName>
    <definedName name="TT.12" localSheetId="2">#REF!</definedName>
    <definedName name="TT.12">#REF!</definedName>
    <definedName name="TT.13" localSheetId="2">#REF!</definedName>
    <definedName name="TT.13">#REF!</definedName>
    <definedName name="TT.14" localSheetId="2">#REF!</definedName>
    <definedName name="TT.14">#REF!</definedName>
    <definedName name="TT.15" localSheetId="2">#REF!</definedName>
    <definedName name="TT.15">#REF!</definedName>
    <definedName name="TT.2" localSheetId="2">#REF!</definedName>
    <definedName name="TT.2">#REF!</definedName>
    <definedName name="TT.3" localSheetId="2">#REF!</definedName>
    <definedName name="TT.3">#REF!</definedName>
    <definedName name="TT.4" localSheetId="2">#REF!</definedName>
    <definedName name="TT.4">#REF!</definedName>
    <definedName name="TT.5" localSheetId="2">#REF!</definedName>
    <definedName name="TT.5">#REF!</definedName>
    <definedName name="TT.6" localSheetId="2">#REF!</definedName>
    <definedName name="TT.6">#REF!</definedName>
    <definedName name="TT.7" localSheetId="2">#REF!</definedName>
    <definedName name="TT.7">#REF!</definedName>
    <definedName name="TT.8" localSheetId="2">#REF!</definedName>
    <definedName name="TT.8">#REF!</definedName>
    <definedName name="TT.9" localSheetId="2">#REF!</definedName>
    <definedName name="TT.9">#REF!</definedName>
    <definedName name="wrn.mode_lev.xls." localSheetId="5" hidden="1">{#N/A,#N/A,FALSE,"ALVENARIA";#N/A,#N/A,FALSE,"BLOCOS";#N/A,#N/A,FALSE,"CINTAS";#N/A,#N/A,FALSE,"CORTINA";#N/A,#N/A,FALSE,"LAJES";#N/A,#N/A,FALSE,"PILARES";#N/A,#N/A,FALSE,"VIGAS"}</definedName>
    <definedName name="wrn.mode_lev.xls." localSheetId="4" hidden="1">{#N/A,#N/A,FALSE,"ALVENARIA";#N/A,#N/A,FALSE,"BLOCOS";#N/A,#N/A,FALSE,"CINTAS";#N/A,#N/A,FALSE,"CORTINA";#N/A,#N/A,FALSE,"LAJES";#N/A,#N/A,FALSE,"PILARES";#N/A,#N/A,FALSE,"VIGAS"}</definedName>
    <definedName name="wrn.mode_lev.xls." localSheetId="2" hidden="1">{#N/A,#N/A,FALSE,"ALVENARIA";#N/A,#N/A,FALSE,"BLOCOS";#N/A,#N/A,FALSE,"CINTAS";#N/A,#N/A,FALSE,"CORTINA";#N/A,#N/A,FALSE,"LAJES";#N/A,#N/A,FALSE,"PILARES";#N/A,#N/A,FALSE,"VIGAS"}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localSheetId="5" hidden="1">{#N/A,#N/A,FALSE,"ALVENARIA";#N/A,#N/A,FALSE,"BLOCOS";#N/A,#N/A,FALSE,"CINTAS";#N/A,#N/A,FALSE,"CORTINA";#N/A,#N/A,FALSE,"LAJES";#N/A,#N/A,FALSE,"PILARES";#N/A,#N/A,FALSE,"VIGAS"}</definedName>
    <definedName name="x" localSheetId="4" hidden="1">{#N/A,#N/A,FALSE,"ALVENARIA";#N/A,#N/A,FALSE,"BLOCOS";#N/A,#N/A,FALSE,"CINTAS";#N/A,#N/A,FALSE,"CORTINA";#N/A,#N/A,FALSE,"LAJES";#N/A,#N/A,FALSE,"PILARES";#N/A,#N/A,FALSE,"VIGAS"}</definedName>
    <definedName name="x" localSheetId="2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10" l="1"/>
  <c r="A23" i="10"/>
  <c r="B26" i="10"/>
  <c r="B24" i="10"/>
  <c r="B21" i="10"/>
  <c r="B19" i="10"/>
  <c r="B133" i="9"/>
  <c r="B141" i="9" s="1"/>
  <c r="D141" i="9" s="1"/>
  <c r="B132" i="9"/>
  <c r="B140" i="9" s="1"/>
  <c r="D140" i="9" s="1"/>
  <c r="B138" i="9"/>
  <c r="B136" i="9"/>
  <c r="A138" i="9"/>
  <c r="A136" i="9"/>
  <c r="A130" i="9"/>
  <c r="B130" i="9"/>
  <c r="B124" i="9"/>
  <c r="A124" i="9"/>
  <c r="A122" i="9"/>
  <c r="B122" i="9"/>
  <c r="A120" i="9"/>
  <c r="B102" i="9"/>
  <c r="D102" i="9" s="1"/>
  <c r="B103" i="9"/>
  <c r="D103" i="9" s="1"/>
  <c r="B104" i="9"/>
  <c r="D104" i="9" s="1"/>
  <c r="B105" i="9"/>
  <c r="D105" i="9" s="1"/>
  <c r="B101" i="9"/>
  <c r="D101" i="9" s="1"/>
  <c r="B110" i="9"/>
  <c r="B108" i="9"/>
  <c r="A110" i="9"/>
  <c r="A108" i="9"/>
  <c r="B99" i="9"/>
  <c r="A99" i="9"/>
  <c r="A90" i="9"/>
  <c r="A88" i="9"/>
  <c r="B90" i="9"/>
  <c r="B88" i="9"/>
  <c r="A86" i="9"/>
  <c r="B82" i="9"/>
  <c r="B77" i="9"/>
  <c r="D77" i="9" s="1"/>
  <c r="B66" i="9"/>
  <c r="D66" i="9" s="1"/>
  <c r="B67" i="9"/>
  <c r="D67" i="9" s="1"/>
  <c r="B68" i="9"/>
  <c r="D68" i="9" s="1"/>
  <c r="B69" i="9"/>
  <c r="B81" i="9" s="1"/>
  <c r="B70" i="9"/>
  <c r="B65" i="9"/>
  <c r="D65" i="9" s="1"/>
  <c r="D59" i="9"/>
  <c r="D60" i="9"/>
  <c r="B75" i="9"/>
  <c r="B73" i="9"/>
  <c r="A75" i="9"/>
  <c r="A73" i="9"/>
  <c r="A63" i="9"/>
  <c r="B63" i="9"/>
  <c r="B53" i="9"/>
  <c r="B51" i="9"/>
  <c r="A53" i="9"/>
  <c r="A51" i="9"/>
  <c r="A49" i="9"/>
  <c r="D142" i="9"/>
  <c r="D127" i="9"/>
  <c r="D126" i="9"/>
  <c r="D117" i="9"/>
  <c r="B115" i="9"/>
  <c r="D115" i="9" s="1"/>
  <c r="D96" i="9"/>
  <c r="D95" i="9"/>
  <c r="D94" i="9"/>
  <c r="D93" i="9"/>
  <c r="D92" i="9"/>
  <c r="D55" i="9"/>
  <c r="D56" i="9"/>
  <c r="D57" i="9"/>
  <c r="D58" i="9"/>
  <c r="D70" i="9"/>
  <c r="D83" i="9"/>
  <c r="B42" i="9"/>
  <c r="D42" i="9" s="1"/>
  <c r="B43" i="9"/>
  <c r="D43" i="9" s="1"/>
  <c r="B44" i="9"/>
  <c r="B45" i="9"/>
  <c r="D45" i="9" s="1"/>
  <c r="B41" i="9"/>
  <c r="D41" i="9" s="1"/>
  <c r="D46" i="9"/>
  <c r="D44" i="9"/>
  <c r="D34" i="9"/>
  <c r="D33" i="9"/>
  <c r="D32" i="9"/>
  <c r="D31" i="9"/>
  <c r="D30" i="9"/>
  <c r="D25" i="9"/>
  <c r="D24" i="9"/>
  <c r="D23" i="9"/>
  <c r="D22" i="9"/>
  <c r="D21" i="9"/>
  <c r="B16" i="10"/>
  <c r="B14" i="10"/>
  <c r="A13" i="10"/>
  <c r="A8" i="10"/>
  <c r="B11" i="10"/>
  <c r="B9" i="10"/>
  <c r="B6" i="10"/>
  <c r="B116" i="9" l="1"/>
  <c r="D116" i="9" s="1"/>
  <c r="D61" i="9"/>
  <c r="F22" i="5" s="1"/>
  <c r="B114" i="9"/>
  <c r="D114" i="9" s="1"/>
  <c r="D69" i="9"/>
  <c r="D71" i="9" s="1"/>
  <c r="F23" i="5" s="1"/>
  <c r="D133" i="9"/>
  <c r="D132" i="9"/>
  <c r="B78" i="9"/>
  <c r="D78" i="9" s="1"/>
  <c r="B112" i="9"/>
  <c r="D112" i="9" s="1"/>
  <c r="B79" i="9"/>
  <c r="D79" i="9" s="1"/>
  <c r="B113" i="9"/>
  <c r="D113" i="9" s="1"/>
  <c r="D82" i="9"/>
  <c r="B80" i="9"/>
  <c r="D81" i="9"/>
  <c r="D80" i="9"/>
  <c r="D128" i="9"/>
  <c r="F38" i="5" s="1"/>
  <c r="D97" i="9"/>
  <c r="F30" i="5" s="1"/>
  <c r="D106" i="9"/>
  <c r="F31" i="5" s="1"/>
  <c r="D143" i="9"/>
  <c r="F42" i="5" s="1"/>
  <c r="D47" i="9"/>
  <c r="F18" i="5" s="1"/>
  <c r="D35" i="9"/>
  <c r="F15" i="5" s="1"/>
  <c r="D26" i="9"/>
  <c r="F14" i="5" s="1"/>
  <c r="B129" i="19" a="1"/>
  <c r="B130" i="19" s="1"/>
  <c r="G124" i="19"/>
  <c r="A124" i="19"/>
  <c r="A119" i="19"/>
  <c r="A117" i="19"/>
  <c r="E114" i="19"/>
  <c r="J109" i="19"/>
  <c r="Q108" i="19"/>
  <c r="P108" i="19"/>
  <c r="O108" i="19"/>
  <c r="J108" i="19"/>
  <c r="Q107" i="19"/>
  <c r="P107" i="19"/>
  <c r="O107" i="19"/>
  <c r="J107" i="19" a="1"/>
  <c r="J107" i="19" s="1"/>
  <c r="L107" i="19" s="1"/>
  <c r="J106" i="19"/>
  <c r="L106" i="19" s="1"/>
  <c r="P105" i="19"/>
  <c r="Q105" i="19" s="1"/>
  <c r="K105" i="19"/>
  <c r="I104" i="19"/>
  <c r="K104" i="19" s="1"/>
  <c r="A104" i="19"/>
  <c r="Q103" i="19"/>
  <c r="O103" i="19"/>
  <c r="I103" i="19"/>
  <c r="K103" i="19" s="1"/>
  <c r="I102" i="19"/>
  <c r="O102" i="19" s="1"/>
  <c r="I101" i="19"/>
  <c r="K101" i="19" s="1"/>
  <c r="A101" i="19"/>
  <c r="Q100" i="19"/>
  <c r="I100" i="19"/>
  <c r="P100" i="19" s="1"/>
  <c r="A100" i="19"/>
  <c r="L96" i="19"/>
  <c r="K96" i="19" s="1"/>
  <c r="L93" i="19"/>
  <c r="B89" i="19" a="1"/>
  <c r="B91" i="19" s="1"/>
  <c r="G84" i="19"/>
  <c r="A84" i="19"/>
  <c r="A79" i="19"/>
  <c r="A77" i="19"/>
  <c r="E74" i="19"/>
  <c r="J69" i="19"/>
  <c r="Q68" i="19"/>
  <c r="P68" i="19"/>
  <c r="O68" i="19"/>
  <c r="J68" i="19"/>
  <c r="Q67" i="19"/>
  <c r="P67" i="19"/>
  <c r="O67" i="19"/>
  <c r="J67" i="19" a="1"/>
  <c r="J67" i="19" s="1"/>
  <c r="J66" i="19"/>
  <c r="L66" i="19" s="1"/>
  <c r="P65" i="19"/>
  <c r="Q65" i="19" s="1"/>
  <c r="K65" i="19"/>
  <c r="I64" i="19"/>
  <c r="K64" i="19" s="1"/>
  <c r="A64" i="19"/>
  <c r="I63" i="19"/>
  <c r="O63" i="19" s="1"/>
  <c r="I62" i="19"/>
  <c r="K62" i="19" s="1"/>
  <c r="Q61" i="19"/>
  <c r="P61" i="19"/>
  <c r="I61" i="19"/>
  <c r="O61" i="19" s="1"/>
  <c r="A61" i="19"/>
  <c r="I60" i="19"/>
  <c r="Q60" i="19" s="1"/>
  <c r="A60" i="19"/>
  <c r="L56" i="19"/>
  <c r="K56" i="19" s="1"/>
  <c r="L53" i="19"/>
  <c r="B50" i="19" a="1"/>
  <c r="B52" i="19" s="1"/>
  <c r="A38" i="19"/>
  <c r="J32" i="19"/>
  <c r="I6" i="5" s="1"/>
  <c r="J29" i="19"/>
  <c r="J28" i="19"/>
  <c r="L28" i="19" s="1"/>
  <c r="L27" i="19"/>
  <c r="L26" i="19"/>
  <c r="L25" i="19"/>
  <c r="L24" i="19"/>
  <c r="L23" i="19"/>
  <c r="L22" i="19"/>
  <c r="L21" i="19"/>
  <c r="L20" i="19"/>
  <c r="F1" i="19"/>
  <c r="P63" i="19" l="1"/>
  <c r="O101" i="19"/>
  <c r="P103" i="19"/>
  <c r="O105" i="19"/>
  <c r="L105" i="19" s="1"/>
  <c r="Q63" i="19"/>
  <c r="P101" i="19"/>
  <c r="L67" i="19"/>
  <c r="Q101" i="19"/>
  <c r="L101" i="19" s="1"/>
  <c r="P102" i="19"/>
  <c r="O104" i="19"/>
  <c r="P62" i="19"/>
  <c r="P64" i="19"/>
  <c r="O62" i="19"/>
  <c r="O64" i="19"/>
  <c r="Q102" i="19"/>
  <c r="P104" i="19"/>
  <c r="P60" i="19"/>
  <c r="Q62" i="19"/>
  <c r="Q64" i="19"/>
  <c r="Q104" i="19"/>
  <c r="D118" i="9"/>
  <c r="F34" i="5" s="1"/>
  <c r="D134" i="9"/>
  <c r="F39" i="5" s="1"/>
  <c r="D84" i="9"/>
  <c r="F26" i="5" s="1"/>
  <c r="H37" i="5"/>
  <c r="H20" i="5"/>
  <c r="H33" i="5"/>
  <c r="H29" i="5"/>
  <c r="H28" i="5"/>
  <c r="H36" i="5"/>
  <c r="H30" i="5"/>
  <c r="I30" i="5" s="1"/>
  <c r="I29" i="5" s="1"/>
  <c r="H34" i="5"/>
  <c r="H42" i="5"/>
  <c r="I42" i="5" s="1"/>
  <c r="I41" i="5" s="1"/>
  <c r="D27" i="10" s="1"/>
  <c r="H27" i="10" s="1"/>
  <c r="H31" i="5"/>
  <c r="I31" i="5" s="1"/>
  <c r="H41" i="5"/>
  <c r="H39" i="5"/>
  <c r="H38" i="5"/>
  <c r="I38" i="5" s="1"/>
  <c r="B89" i="19"/>
  <c r="B90" i="19"/>
  <c r="L108" i="19"/>
  <c r="B111" i="19" s="1"/>
  <c r="L68" i="19"/>
  <c r="A71" i="19" s="1"/>
  <c r="L103" i="19"/>
  <c r="A31" i="19"/>
  <c r="B31" i="19"/>
  <c r="B50" i="19"/>
  <c r="B51" i="19"/>
  <c r="K100" i="19"/>
  <c r="B131" i="19"/>
  <c r="K61" i="19"/>
  <c r="L61" i="19" s="1"/>
  <c r="K63" i="19"/>
  <c r="L63" i="19" s="1"/>
  <c r="K102" i="19"/>
  <c r="O100" i="19"/>
  <c r="O65" i="19"/>
  <c r="L65" i="19" s="1"/>
  <c r="K60" i="19"/>
  <c r="O60" i="19"/>
  <c r="B129" i="19"/>
  <c r="L64" i="19" l="1"/>
  <c r="L62" i="19"/>
  <c r="L104" i="19"/>
  <c r="L102" i="19"/>
  <c r="D20" i="10"/>
  <c r="I39" i="5"/>
  <c r="I37" i="5" s="1"/>
  <c r="I34" i="5"/>
  <c r="I33" i="5" s="1"/>
  <c r="D22" i="10" s="1"/>
  <c r="A111" i="19"/>
  <c r="B71" i="19"/>
  <c r="L100" i="19"/>
  <c r="L60" i="19"/>
  <c r="D25" i="10" l="1"/>
  <c r="H25" i="10" s="1"/>
  <c r="I36" i="5"/>
  <c r="I28" i="5"/>
  <c r="H26" i="5"/>
  <c r="H25" i="5"/>
  <c r="H23" i="5"/>
  <c r="H22" i="5"/>
  <c r="H21" i="5"/>
  <c r="A15" i="9"/>
  <c r="H12" i="5"/>
  <c r="I26" i="5" l="1"/>
  <c r="I25" i="5" s="1"/>
  <c r="I22" i="5"/>
  <c r="I21" i="5" s="1"/>
  <c r="I20" i="5" s="1"/>
  <c r="I23" i="5"/>
  <c r="D17" i="10" l="1"/>
  <c r="H22" i="10" l="1"/>
  <c r="G22" i="10"/>
  <c r="D15" i="10"/>
  <c r="F17" i="10"/>
  <c r="G17" i="10"/>
  <c r="H20" i="10" l="1"/>
  <c r="H29" i="10" s="1"/>
  <c r="G20" i="10"/>
  <c r="G15" i="10"/>
  <c r="G29" i="10" s="1"/>
  <c r="F15" i="10"/>
  <c r="B28" i="9" l="1"/>
  <c r="B37" i="9"/>
  <c r="A28" i="9" l="1"/>
  <c r="C13" i="9" l="1"/>
  <c r="I19" i="15"/>
  <c r="N19" i="15" s="1"/>
  <c r="P19" i="15" s="1"/>
  <c r="I18" i="15"/>
  <c r="J18" i="15" s="1"/>
  <c r="I16" i="15"/>
  <c r="N16" i="15" s="1"/>
  <c r="P16" i="15" s="1"/>
  <c r="I15" i="15"/>
  <c r="N15" i="15" s="1"/>
  <c r="P15" i="15" s="1"/>
  <c r="N12" i="15"/>
  <c r="P12" i="15" s="1"/>
  <c r="H19" i="15"/>
  <c r="H16" i="15"/>
  <c r="H15" i="15"/>
  <c r="E12" i="15"/>
  <c r="E13" i="15"/>
  <c r="I13" i="15" s="1"/>
  <c r="N13" i="15" s="1"/>
  <c r="P13" i="15" s="1"/>
  <c r="H11" i="15"/>
  <c r="L7" i="15"/>
  <c r="F10" i="5" l="1"/>
  <c r="E11" i="15" s="1"/>
  <c r="I11" i="15" s="1"/>
  <c r="J13" i="15"/>
  <c r="J19" i="15"/>
  <c r="N18" i="15"/>
  <c r="P18" i="15" s="1"/>
  <c r="P17" i="15" s="1"/>
  <c r="J16" i="15"/>
  <c r="J15" i="15"/>
  <c r="J12" i="15"/>
  <c r="P14" i="15"/>
  <c r="N14" i="15"/>
  <c r="N11" i="15" l="1"/>
  <c r="J11" i="15"/>
  <c r="N17" i="15"/>
  <c r="P11" i="15" l="1"/>
  <c r="P10" i="15" s="1"/>
  <c r="N10" i="15"/>
  <c r="P21" i="15" s="1"/>
  <c r="O25" i="15" s="1"/>
  <c r="N7" i="15" s="1"/>
  <c r="P7" i="15" s="1"/>
  <c r="E19" i="15"/>
  <c r="E18" i="15" l="1"/>
  <c r="E15" i="15"/>
  <c r="E16" i="15"/>
  <c r="F3" i="10" l="1"/>
  <c r="I3" i="9"/>
  <c r="H3" i="5"/>
  <c r="C36" i="14" l="1"/>
  <c r="C37" i="14"/>
  <c r="I14" i="14"/>
  <c r="H14" i="14"/>
  <c r="G14" i="14"/>
  <c r="F14" i="14"/>
  <c r="E14" i="14"/>
  <c r="D14" i="14"/>
  <c r="C14" i="14"/>
  <c r="H11" i="14"/>
  <c r="F11" i="14"/>
  <c r="E11" i="14"/>
  <c r="E22" i="14" s="1"/>
  <c r="D11" i="14"/>
  <c r="C11" i="14"/>
  <c r="A37" i="9" l="1"/>
  <c r="A39" i="9"/>
  <c r="E33" i="14"/>
  <c r="C33" i="14"/>
  <c r="C32" i="14"/>
  <c r="B29" i="14"/>
  <c r="I23" i="14"/>
  <c r="F23" i="14"/>
  <c r="E23" i="14"/>
  <c r="D22" i="14"/>
  <c r="H23" i="14"/>
  <c r="G23" i="14"/>
  <c r="D23" i="14"/>
  <c r="C23" i="14"/>
  <c r="I22" i="14"/>
  <c r="G22" i="14"/>
  <c r="F22" i="14"/>
  <c r="C22" i="14"/>
  <c r="F24" i="14" l="1"/>
  <c r="E24" i="14"/>
  <c r="G24" i="14"/>
  <c r="D24" i="14"/>
  <c r="B17" i="9" l="1"/>
  <c r="A17" i="9"/>
  <c r="H18" i="5"/>
  <c r="H17" i="5"/>
  <c r="A4" i="10"/>
  <c r="B38" i="10" a="1"/>
  <c r="B38" i="10" s="1"/>
  <c r="B37" i="10"/>
  <c r="B32" i="10"/>
  <c r="B33" i="10"/>
  <c r="E4" i="9"/>
  <c r="D4" i="9"/>
  <c r="A3" i="9"/>
  <c r="B4" i="9"/>
  <c r="A5" i="9"/>
  <c r="A3" i="10"/>
  <c r="C4" i="10"/>
  <c r="A19" i="9" l="1"/>
  <c r="A10" i="9"/>
  <c r="H15" i="5" l="1"/>
  <c r="H14" i="5"/>
  <c r="B19" i="9"/>
  <c r="B10" i="9"/>
  <c r="I18" i="5" l="1"/>
  <c r="I17" i="5" s="1"/>
  <c r="I15" i="5"/>
  <c r="I14" i="5"/>
  <c r="I13" i="5" s="1"/>
  <c r="I12" i="5" s="1"/>
  <c r="D10" i="10" l="1"/>
  <c r="F10" i="10" s="1"/>
  <c r="E10" i="10" l="1"/>
  <c r="B8" i="9"/>
  <c r="A8" i="9"/>
  <c r="D12" i="10" l="1"/>
  <c r="H9" i="5"/>
  <c r="H13" i="5"/>
  <c r="H10" i="5"/>
  <c r="I10" i="5" s="1"/>
  <c r="I9" i="5" l="1"/>
  <c r="I44" i="5" s="1"/>
  <c r="F12" i="10"/>
  <c r="F29" i="10" s="1"/>
  <c r="E12" i="10"/>
  <c r="D7" i="10"/>
  <c r="D29" i="10" s="1"/>
  <c r="D21" i="10" l="1"/>
  <c r="D26" i="10"/>
  <c r="D24" i="10"/>
  <c r="D19" i="10"/>
  <c r="D3" i="10"/>
  <c r="F28" i="10"/>
  <c r="H28" i="10"/>
  <c r="E7" i="10"/>
  <c r="E29" i="10" s="1"/>
  <c r="G28" i="10"/>
  <c r="D14" i="10"/>
  <c r="D16" i="10"/>
  <c r="D11" i="10"/>
  <c r="D9" i="10"/>
  <c r="D6" i="10"/>
  <c r="D28" i="10" l="1"/>
  <c r="E28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<sst xmlns="http://schemas.openxmlformats.org/spreadsheetml/2006/main" count="460" uniqueCount="255">
  <si>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</si>
  <si>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</si>
  <si>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</si>
  <si>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</si>
  <si>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</si>
  <si>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</si>
  <si>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</si>
  <si>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</si>
  <si>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1.1</t>
  </si>
  <si>
    <t>2.1</t>
  </si>
  <si>
    <t>3.1</t>
  </si>
  <si>
    <t>M</t>
  </si>
  <si>
    <t>TOTAL GERAL DA OBRA</t>
  </si>
  <si>
    <t>U</t>
  </si>
  <si>
    <t>-</t>
  </si>
  <si>
    <t>m²</t>
  </si>
  <si>
    <t>SERVIÇOS PRELIMINARES</t>
  </si>
  <si>
    <t>Data</t>
  </si>
  <si>
    <t>Resp. Técnico:</t>
  </si>
  <si>
    <t>SERVIÇOS</t>
  </si>
  <si>
    <t>m</t>
  </si>
  <si>
    <t>3.2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</si>
  <si>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</si>
  <si>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</si>
  <si>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</si>
  <si>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</si>
  <si>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</si>
  <si>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</si>
  <si>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</si>
  <si>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</si>
  <si>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</si>
  <si>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</si>
  <si>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(    )</t>
  </si>
  <si>
    <t>SERVIÇOS DE CALÇAMENTO EM BLOQUETE</t>
  </si>
  <si>
    <t>DATA:</t>
  </si>
  <si>
    <t>Priscila Cristina de Paula</t>
  </si>
  <si>
    <t>Engenheira Civil</t>
  </si>
  <si>
    <t xml:space="preserve">FOLHA Nº: </t>
  </si>
  <si>
    <t>ÓRGÃO:</t>
  </si>
  <si>
    <r>
      <rPr>
        <b/>
        <u/>
        <sz val="11"/>
        <rFont val="Aharoni"/>
        <charset val="177"/>
      </rPr>
      <t>PLANILHA ORÇAMENT</t>
    </r>
    <r>
      <rPr>
        <b/>
        <u/>
        <sz val="11"/>
        <rFont val="Abadi"/>
        <family val="2"/>
      </rPr>
      <t>Á</t>
    </r>
    <r>
      <rPr>
        <b/>
        <u/>
        <sz val="11"/>
        <rFont val="Aharoni"/>
        <charset val="177"/>
      </rPr>
      <t>RIA DE CUSTOS</t>
    </r>
  </si>
  <si>
    <t>1.0</t>
  </si>
  <si>
    <t>2.0</t>
  </si>
  <si>
    <t>3.0</t>
  </si>
  <si>
    <t>OBRAS COMPLEMENTARES</t>
  </si>
  <si>
    <t>MEMÓRIA DE CÁLCULO DE QUANTITATIVOS</t>
  </si>
  <si>
    <t>LDI:</t>
  </si>
  <si>
    <t>% ISS MUNICIPAL:</t>
  </si>
  <si>
    <r>
      <t>C</t>
    </r>
    <r>
      <rPr>
        <b/>
        <sz val="9"/>
        <rFont val="Abadi"/>
        <family val="2"/>
      </rPr>
      <t>Ó</t>
    </r>
    <r>
      <rPr>
        <b/>
        <sz val="9"/>
        <rFont val="Aharoni"/>
        <charset val="177"/>
      </rPr>
      <t>DIGO</t>
    </r>
  </si>
  <si>
    <r>
      <t>DESCRIÇ</t>
    </r>
    <r>
      <rPr>
        <b/>
        <sz val="9"/>
        <rFont val="Abadi"/>
        <family val="2"/>
      </rPr>
      <t>Ã</t>
    </r>
    <r>
      <rPr>
        <b/>
        <sz val="9"/>
        <rFont val="Aharoni"/>
        <charset val="177"/>
      </rPr>
      <t>O</t>
    </r>
  </si>
  <si>
    <r>
      <t>PREÇO UNIT</t>
    </r>
    <r>
      <rPr>
        <b/>
        <sz val="9"/>
        <rFont val="Abadi"/>
        <family val="2"/>
      </rPr>
      <t>Á</t>
    </r>
    <r>
      <rPr>
        <b/>
        <sz val="9"/>
        <rFont val="Aharoni"/>
        <charset val="177"/>
      </rPr>
      <t>RIO S/ LDI</t>
    </r>
  </si>
  <si>
    <r>
      <t>PREÇO UNIT</t>
    </r>
    <r>
      <rPr>
        <b/>
        <sz val="9"/>
        <rFont val="Abadi"/>
        <family val="2"/>
      </rPr>
      <t>Á</t>
    </r>
    <r>
      <rPr>
        <b/>
        <sz val="9"/>
        <rFont val="Aharoni"/>
        <charset val="177"/>
      </rPr>
      <t>RIO C/ LDI</t>
    </r>
  </si>
  <si>
    <r>
      <rPr>
        <b/>
        <sz val="11"/>
        <rFont val="Aharoni"/>
        <charset val="177"/>
      </rPr>
      <t>(</t>
    </r>
    <r>
      <rPr>
        <b/>
        <sz val="9"/>
        <rFont val="Aharoni"/>
        <charset val="177"/>
      </rPr>
      <t xml:space="preserve"> </t>
    </r>
    <r>
      <rPr>
        <b/>
        <sz val="8"/>
        <rFont val="Aharoni"/>
        <charset val="177"/>
      </rPr>
      <t>X</t>
    </r>
    <r>
      <rPr>
        <b/>
        <sz val="9"/>
        <rFont val="Aharoni"/>
        <charset val="177"/>
      </rPr>
      <t xml:space="preserve"> </t>
    </r>
    <r>
      <rPr>
        <b/>
        <sz val="11"/>
        <rFont val="Aharoni"/>
        <charset val="177"/>
      </rPr>
      <t>)</t>
    </r>
  </si>
  <si>
    <t>GUIA DE MEIO-FIO, EM CONCRETO COM FCK 20MPA, PRÉ-MOLDADA, MFC-01 PADRÃO DEER-MG, DIMENSÕES (12X16,7X35) CM, EXCLUSIVE SARJETA, INCLUSIVE ESCAVAÇÃO, APILOAMENTO E TRANSPORTE COM RETIRADA DO MATERIAL ESCAVADO (EM CAÇAMBA)</t>
  </si>
  <si>
    <t>MÊS 3</t>
  </si>
  <si>
    <r>
      <t>CREA-MG N</t>
    </r>
    <r>
      <rPr>
        <sz val="10"/>
        <rFont val="Calibri"/>
        <family val="2"/>
        <scheme val="minor"/>
      </rPr>
      <t>º</t>
    </r>
    <r>
      <rPr>
        <sz val="10"/>
        <rFont val="Abadi"/>
        <family val="2"/>
      </rPr>
      <t>: 142.702/D</t>
    </r>
  </si>
  <si>
    <t>CONSTRUÇÃO DE RODOVIAS E FERROVIAS</t>
  </si>
  <si>
    <t>ISS</t>
  </si>
  <si>
    <t>PIS</t>
  </si>
  <si>
    <t>COFINS</t>
  </si>
  <si>
    <t>BDI</t>
  </si>
  <si>
    <t xml:space="preserve">TOTAL 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</si>
  <si>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</si>
  <si>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DEMONSTRATIVO DO BDI - SEM DESONERAÇÃO - OBRAS RODOVIÁRIAS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</si>
  <si>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</si>
  <si>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</si>
  <si>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</si>
  <si>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</si>
  <si>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</si>
  <si>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</si>
  <si>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</si>
  <si>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</si>
  <si>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</si>
  <si>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</si>
  <si>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</si>
  <si>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</si>
  <si>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</si>
  <si>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</si>
  <si>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</si>
  <si>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</si>
  <si>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</si>
  <si>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</si>
  <si>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</si>
  <si>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</si>
  <si>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</si>
  <si>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</si>
  <si>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</si>
  <si>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</si>
  <si>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</si>
  <si>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r>
      <t>ISS</t>
    </r>
    <r>
      <rPr>
        <vertAlign val="superscript"/>
        <sz val="8"/>
        <rFont val="Arial"/>
        <family val="2"/>
      </rPr>
      <t>(2)</t>
    </r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</si>
  <si>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</si>
  <si>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</si>
  <si>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</si>
  <si>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</si>
  <si>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</si>
  <si>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</si>
  <si>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</si>
  <si>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OBSERVAÇÕES</t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</si>
  <si>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>INCIDÊNCIA.</t>
    </r>
  </si>
  <si>
    <t xml:space="preserve">Cidade, </t>
  </si>
  <si>
    <t>.</t>
  </si>
  <si>
    <r>
      <t>DOC N</t>
    </r>
    <r>
      <rPr>
        <sz val="10"/>
        <rFont val="Calibri"/>
        <family val="2"/>
        <scheme val="minor"/>
      </rPr>
      <t>º</t>
    </r>
    <r>
      <rPr>
        <sz val="10"/>
        <rFont val="Abadi"/>
        <family val="2"/>
      </rPr>
      <t xml:space="preserve">: </t>
    </r>
  </si>
  <si>
    <t>*DEMONSTRATIVO DE BDI CALCULADO ANEXO 15*</t>
  </si>
  <si>
    <t>05/05.</t>
  </si>
  <si>
    <t>2.2</t>
  </si>
  <si>
    <t>SINAPI</t>
  </si>
  <si>
    <t>EXECUÇÃO DE SARJETA DE CONCRETO USINADO, MOLDADA IN LOCO EM TRECHO RETO, 30 CM BASE X 10 CM ALTURA. AF_06/2016</t>
  </si>
  <si>
    <t>1.2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</si>
  <si>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 DESMOBILIZAÇÃO E LIGAÇÕES PROVISÓRIAS EXTERNAS</t>
  </si>
  <si>
    <t>MÊS</t>
  </si>
  <si>
    <t>1.3</t>
  </si>
  <si>
    <t>LIGAÇÕES PROVISÓRIAS PARA CONTAINER TIPO 3 (CORRESPONDENTE AO CÓDIGO ED-16350)</t>
  </si>
  <si>
    <t>UNID.</t>
  </si>
  <si>
    <t>REGULARIZAÇÃO MANUAL E COMPACTAÇÃO MECANIZADA DE TERRENO COM PLACA VIBRATÓRIA, EXCLUSIVE DESMATAMENTO, DESTOCAMENTO, LIMPEZA/ROÇADA DO TERRENO</t>
  </si>
  <si>
    <t>EXECUÇÃO DE PAVIMENTO EM PISO INTERTRAVADO, COM BLOCO SEXTAVADO DE 25 X 25 CM, ESPESSURA 8 CM. AF_10/2022</t>
  </si>
  <si>
    <t>01/03.</t>
  </si>
  <si>
    <t>FOLHA Nº: 02/03</t>
  </si>
  <si>
    <t>FOLHA Nº: 03/03</t>
  </si>
  <si>
    <t>VALOR :</t>
  </si>
  <si>
    <t xml:space="preserve">ANEXO X - BOLETIM DE MEDIÇÃO </t>
  </si>
  <si>
    <t>PREFEITURA:  PREFEITURA MUNICIPAL DE ARACITABA</t>
  </si>
  <si>
    <t>BOLETIM DE MEDIÇÃO Nº:</t>
  </si>
  <si>
    <t>CONVÊNIO Nº:</t>
  </si>
  <si>
    <t>CONCEDENTE:</t>
  </si>
  <si>
    <t>MEDIÇÃO Nº:</t>
  </si>
  <si>
    <t xml:space="preserve">nº Folha </t>
  </si>
  <si>
    <t>PREFEITURA MUNICIPAL</t>
  </si>
  <si>
    <t>01</t>
  </si>
  <si>
    <t>ORDEM DE SERVIÇO:</t>
  </si>
  <si>
    <t>Valor CT/ TA:</t>
  </si>
  <si>
    <t>Saldo anterior</t>
  </si>
  <si>
    <t>Esta medição:</t>
  </si>
  <si>
    <t>Saldo:</t>
  </si>
  <si>
    <t>SERVIÇOS EXECUTADOS</t>
  </si>
  <si>
    <t>QUANT.</t>
  </si>
  <si>
    <t>QUANTIDADES EXECUTADAS</t>
  </si>
  <si>
    <t>VALOR UNIT.</t>
  </si>
  <si>
    <t>VALORES EXECUTADOS R$</t>
  </si>
  <si>
    <t>PREVISTA (Plano de Trabalho)</t>
  </si>
  <si>
    <t>Anterior</t>
  </si>
  <si>
    <t>No período</t>
  </si>
  <si>
    <t>Acumulado</t>
  </si>
  <si>
    <t>RECURSO PROPRIO</t>
  </si>
  <si>
    <t>OBRA: ETAPA 02 - CALÇAMENTO EM VIAS URBANAS</t>
  </si>
  <si>
    <r>
      <t xml:space="preserve">Cálculo do Reajuste: </t>
    </r>
    <r>
      <rPr>
        <sz val="9"/>
        <color indexed="8"/>
        <rFont val="Arial"/>
        <family val="2"/>
      </rPr>
      <t>0,00</t>
    </r>
  </si>
  <si>
    <t>Fator de Reajust. 0,00</t>
  </si>
  <si>
    <t>Total s/ reajust.</t>
  </si>
  <si>
    <t>Total c/ reajust.</t>
  </si>
  <si>
    <t xml:space="preserve">Contratante: </t>
  </si>
  <si>
    <t>Fiscalização/ Prefeitura</t>
  </si>
  <si>
    <t xml:space="preserve">Contratada: </t>
  </si>
  <si>
    <t>Engº Responsável técnico CREA</t>
  </si>
  <si>
    <t xml:space="preserve">Importa a presente medição em            </t>
  </si>
  <si>
    <t>Assinatura Prefeito</t>
  </si>
  <si>
    <t>Assinatura Engenheiro Prefeitura</t>
  </si>
  <si>
    <t>Assinatura do Responsável</t>
  </si>
  <si>
    <t>Assinatura Engenheiro Responsável</t>
  </si>
  <si>
    <t>CONTAMIL CONSTRUÇÃO</t>
  </si>
  <si>
    <t>CNPJ 26.147.330/0001-06</t>
  </si>
  <si>
    <t>CONTRATO Nº:   002/2025</t>
  </si>
  <si>
    <t>DATA DA OS: 25/02/2025</t>
  </si>
  <si>
    <t>DATA DA EMISSÃO: 24 DE JULHO DE 2025</t>
  </si>
  <si>
    <t>PERÍODO DE EXECUÇÃO : 25/02/2025 A 24/07/2025</t>
  </si>
  <si>
    <r>
      <rPr>
        <sz val="8"/>
        <color theme="1"/>
        <rFont val="Arial"/>
        <family val="2"/>
      </rPr>
      <t>LICITAÇÃO</t>
    </r>
    <r>
      <rPr>
        <sz val="9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CONCORRÊNCIA Nº:  06/2024</t>
    </r>
  </si>
  <si>
    <t>LARG (M)</t>
  </si>
  <si>
    <t>ALTURA (M)</t>
  </si>
  <si>
    <t>ÁREA (M2)</t>
  </si>
  <si>
    <t>ASSENTAMENTO DE GUIA (MEIO-FIO) EM TRECHO RETO, CONFECCIONADA EM CONCRETO PRÉ-FABRICADO,DIMENSÕES 100X15X13X30 CM (COMPRIMENTO X BASE INFERIOR X BASE SUPERIOR X ALTURA). AF_01/2024</t>
  </si>
  <si>
    <t>4.0</t>
  </si>
  <si>
    <t>4.1</t>
  </si>
  <si>
    <t>4.2</t>
  </si>
  <si>
    <t>5.0</t>
  </si>
  <si>
    <t>5.1</t>
  </si>
  <si>
    <t>FORNECIMENTO E INSTALAÇÃO DE PLACA DE OBRA COM CHAPA GALVANIZADA E ESTRUTURA DE MADEIRA. AF_03/2022_PS</t>
  </si>
  <si>
    <t>MÊS 4</t>
  </si>
  <si>
    <t>PRAZO DA OBRA: 4 meses</t>
  </si>
  <si>
    <t>Grau de Sigilo</t>
  </si>
  <si>
    <t>#PUBLICO</t>
  </si>
  <si>
    <t>Nº OPERAÇÃO</t>
  </si>
  <si>
    <t>Nº TRANSFEREGOV</t>
  </si>
  <si>
    <t>PROPONENTE / TOMADOR</t>
  </si>
  <si>
    <t>APELIDO DO EMPREENDIMENTO / DESCRIÇÃO DO LOTE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</si>
  <si>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</si>
  <si>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</si>
  <si>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</si>
  <si>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</t>
  </si>
  <si>
    <t>Construção de Praças Urbanas, Rodovias, Ferrovias e recapeamento e pavimentação de vias urbanas</t>
  </si>
  <si>
    <t>Itens</t>
  </si>
  <si>
    <t>Siglas</t>
  </si>
  <si>
    <t>% Adotado</t>
  </si>
  <si>
    <t>Situação</t>
  </si>
  <si>
    <t>1º Quartil</t>
  </si>
  <si>
    <t>Médio</t>
  </si>
  <si>
    <t>3º Quartil</t>
  </si>
  <si>
    <t xml:space="preserve">Administração Central </t>
  </si>
  <si>
    <t>Seguro e Garantia</t>
  </si>
  <si>
    <t>SG</t>
  </si>
  <si>
    <t>Riscos</t>
  </si>
  <si>
    <t>Despesas financeira</t>
  </si>
  <si>
    <t>Lucro</t>
  </si>
  <si>
    <t>Tributos (impostos COFINS 3%, e  PIS 0,65%)</t>
  </si>
  <si>
    <t>CP</t>
  </si>
  <si>
    <t>Tributos (ISS, variável de acordo com o município)</t>
  </si>
  <si>
    <t>Tributos (Contribuição Previdenciária sobre a Receita Bruta - Lei 12.546 de 14/12/2011 - Desoneração)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</si>
  <si>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</si>
  <si>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</si>
  <si>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</si>
  <si>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</si>
  <si>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</si>
  <si>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</si>
  <si>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</si>
  <si>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</si>
  <si>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</si>
  <si>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>Local</t>
  </si>
  <si>
    <t>Responsável Técnico</t>
  </si>
  <si>
    <t>Nome:</t>
  </si>
  <si>
    <t>CREA/CAU:</t>
  </si>
  <si>
    <t>ART/RRT:</t>
  </si>
  <si>
    <t>BDI 2</t>
  </si>
  <si>
    <t>(SELECIONAR)</t>
  </si>
  <si>
    <t>Risco</t>
  </si>
  <si>
    <t>Despesas Financeiras</t>
  </si>
  <si>
    <t>BDI 3</t>
  </si>
  <si>
    <t>PAVIMENTAÇÃO DE ESTRADAS VICINAIS</t>
  </si>
  <si>
    <r>
      <rPr>
        <b/>
        <sz val="10"/>
        <rFont val="Abadi"/>
        <family val="2"/>
      </rPr>
      <t>OBRA:</t>
    </r>
    <r>
      <rPr>
        <sz val="10"/>
        <rFont val="Abadi"/>
        <family val="2"/>
      </rPr>
      <t xml:space="preserve"> PAVIMENTAÇÃO DE ESTRADAS VICINAIS</t>
    </r>
  </si>
  <si>
    <r>
      <rPr>
        <b/>
        <sz val="10"/>
        <rFont val="Abadi"/>
        <family val="2"/>
      </rPr>
      <t>REGIÃO/MÊS DE REFERÊNCIA:</t>
    </r>
    <r>
      <rPr>
        <sz val="10"/>
        <rFont val="Abadi"/>
        <family val="2"/>
      </rPr>
      <t xml:space="preserve"> SINAPI - ABRIL/2026 - COM DESONERAÇÃO.</t>
    </r>
  </si>
  <si>
    <t xml:space="preserve">TRECHO 01 </t>
  </si>
  <si>
    <t>TRAVAMENTOS</t>
  </si>
  <si>
    <t xml:space="preserve">MORRO DO MATÃO - TRECHO 01 </t>
  </si>
  <si>
    <t>MORRO DO MATÃO - TRECHO 02</t>
  </si>
  <si>
    <t>MORRO DO MATÃO - TRECHO 03</t>
  </si>
  <si>
    <t>6.0</t>
  </si>
  <si>
    <t>6.1</t>
  </si>
  <si>
    <t>7.0</t>
  </si>
  <si>
    <t>7.1</t>
  </si>
  <si>
    <t>6.2</t>
  </si>
  <si>
    <t>MORRO DO RIO GRANDE - TRECHO 04</t>
  </si>
  <si>
    <t>8.0</t>
  </si>
  <si>
    <t>8.1</t>
  </si>
  <si>
    <t>9.0</t>
  </si>
  <si>
    <t>9.1</t>
  </si>
  <si>
    <t>8.2</t>
  </si>
  <si>
    <t xml:space="preserve">TRECHO 02 </t>
  </si>
  <si>
    <t xml:space="preserve">TRECHO 03 </t>
  </si>
  <si>
    <t>TRECHO 03</t>
  </si>
  <si>
    <t xml:space="preserve">TRECHO 04 </t>
  </si>
  <si>
    <t>ASSENTAMENTO DE GUIA (MEIO-FIO) EM TRECHO RETO, CONFECCIONADA EM CONCRETO PRÉ-FABRICADO, DIMENSÕES 100X15X13X30 CM (COMPRIMENTO X BASE INFERIOR X BASE SUPERIOR X ALTURA). AF_01/2024</t>
  </si>
  <si>
    <t>REGULARIZAÇÃO E COMPACTAÇÃO DE SUBLEITO DE SOLO PREDOMINANTEMENTE ARGILOSO, PARA OBRAS DE CONSTRUÇÃO DE PAVIMENTOS. AF_09/2024</t>
  </si>
  <si>
    <t xml:space="preserve">PREFEITURA MUNICIPAL DE BOCAINA DE MINAS </t>
  </si>
  <si>
    <t>Luzimar de Moura Benfica</t>
  </si>
  <si>
    <t>Prefeito Municipal</t>
  </si>
  <si>
    <r>
      <rPr>
        <b/>
        <sz val="10"/>
        <rFont val="Abadi"/>
        <family val="2"/>
      </rPr>
      <t>LOCAL:</t>
    </r>
    <r>
      <rPr>
        <sz val="10"/>
        <rFont val="Abadi"/>
        <family val="2"/>
      </rPr>
      <t xml:space="preserve"> Morro do Matão - Trecho 01, 02 e 03 e Morro do Rio Grande , Zona rural - Bocaina de Minas/MG</t>
    </r>
  </si>
  <si>
    <t>PREFEITURA: Prefeitura Municipal de Bocaina de Minas</t>
  </si>
  <si>
    <t>TRANSFERÊNCIA ESPECIAL</t>
  </si>
  <si>
    <t>BOCAINA DE MINAS</t>
  </si>
  <si>
    <t>segunda-feira, 29 de junho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</si>
</sst>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 &quot;#,##0.00"/>
    <numFmt numFmtId="175" formatCode="&quot;R$&quot;#,##0.00"/>
    <numFmt numFmtId="176" formatCode="&quot;R$&quot;\ #,##0.00"/>
    <numFmt numFmtId="177" formatCode="0.000%"/>
    <numFmt numFmtId="178" formatCode="#,###.00\ &quot;M2&quot;"/>
    <numFmt numFmtId="179" formatCode="_(&quot;R$ &quot;* #,##0.00_);_(&quot;R$ &quot;* \(#,##0.00\);_(&quot;R$ &quot;* \-??_);_(@_)"/>
    <numFmt numFmtId="180" formatCode="General;General"/>
    <numFmt numFmtId="181" formatCode="[$-F800]dddd\,\ mmmm\ dd\,\ yyyy"/>
    <numFmt numFmtId="182" formatCode="dd&quot; de &quot;mmmm&quot; de &quot;yyyy"/>
  </numFmts>
  <fonts count="8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badi"/>
      <family val="2"/>
    </font>
    <font>
      <b/>
      <sz val="10"/>
      <name val="Abadi"/>
      <family val="2"/>
    </font>
    <font>
      <sz val="10"/>
      <color indexed="8"/>
      <name val="Abadi"/>
      <family val="2"/>
    </font>
    <font>
      <b/>
      <sz val="9"/>
      <name val="Abadi"/>
      <family val="2"/>
    </font>
    <font>
      <sz val="10"/>
      <color rgb="FFFF0000"/>
      <name val="Abadi"/>
      <family val="2"/>
    </font>
    <font>
      <sz val="9"/>
      <name val="Abadi"/>
      <family val="2"/>
    </font>
    <font>
      <b/>
      <sz val="8"/>
      <name val="Abadi"/>
      <family val="2"/>
    </font>
    <font>
      <sz val="8"/>
      <name val="Abadi"/>
      <family val="2"/>
    </font>
    <font>
      <b/>
      <sz val="10"/>
      <name val="Aharoni"/>
      <charset val="177"/>
    </font>
    <font>
      <b/>
      <sz val="9"/>
      <name val="Aharoni"/>
      <charset val="177"/>
    </font>
    <font>
      <b/>
      <sz val="11"/>
      <name val="Aharoni"/>
      <charset val="177"/>
    </font>
    <font>
      <b/>
      <sz val="14"/>
      <name val="Aharoni"/>
      <charset val="177"/>
    </font>
    <font>
      <b/>
      <sz val="10"/>
      <name val="Abadi Extra Light"/>
      <family val="2"/>
    </font>
    <font>
      <sz val="10"/>
      <name val="Abadi Extra Light"/>
      <family val="2"/>
    </font>
    <font>
      <b/>
      <sz val="9"/>
      <color theme="3"/>
      <name val="Abadi"/>
      <family val="2"/>
    </font>
    <font>
      <b/>
      <u/>
      <sz val="11"/>
      <name val="Aharoni"/>
      <charset val="177"/>
    </font>
    <font>
      <b/>
      <u/>
      <sz val="11"/>
      <name val="Abadi"/>
      <family val="2"/>
    </font>
    <font>
      <b/>
      <sz val="9"/>
      <name val="Abadi Extra Light"/>
      <family val="2"/>
    </font>
    <font>
      <b/>
      <sz val="12"/>
      <name val="Abadi Extra Light"/>
      <family val="2"/>
    </font>
    <font>
      <b/>
      <sz val="9"/>
      <color indexed="8"/>
      <name val="Abadi Extra Light"/>
      <family val="2"/>
    </font>
    <font>
      <sz val="9"/>
      <color indexed="8"/>
      <name val="Abadi Extra Light"/>
      <family val="2"/>
    </font>
    <font>
      <b/>
      <sz val="12"/>
      <name val="Abadi"/>
      <family val="2"/>
    </font>
    <font>
      <b/>
      <sz val="9"/>
      <name val="Aharoni"/>
      <charset val="177"/>
    </font>
    <font>
      <b/>
      <sz val="11"/>
      <name val="Aharoni"/>
      <charset val="177"/>
    </font>
    <font>
      <b/>
      <sz val="8"/>
      <name val="Aharoni"/>
      <charset val="177"/>
    </font>
    <font>
      <b/>
      <sz val="8.5"/>
      <name val="Aharoni"/>
      <charset val="177"/>
    </font>
    <font>
      <b/>
      <sz val="8.5"/>
      <name val="Abadi"/>
      <family val="2"/>
    </font>
    <font>
      <b/>
      <u/>
      <sz val="12"/>
      <name val="Abadi"/>
      <family val="2"/>
    </font>
    <font>
      <b/>
      <sz val="8"/>
      <name val="Arial"/>
      <family val="2"/>
    </font>
    <font>
      <sz val="10"/>
      <name val="Arial"/>
      <family val="2"/>
    </font>
    <font>
      <sz val="13"/>
      <color theme="1"/>
      <name val="Eras Demi ITC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0"/>
      <color theme="1"/>
      <name val="Abadi"/>
      <family val="2"/>
    </font>
    <font>
      <sz val="9"/>
      <color theme="1"/>
      <name val="Abadi"/>
      <family val="2"/>
    </font>
    <font>
      <b/>
      <sz val="12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.5"/>
      <color theme="1"/>
      <name val="Abadi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B3B3B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22"/>
        <bgColor indexed="44"/>
      </patternFill>
    </fill>
  </fills>
  <borders count="8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indexed="64"/>
      </right>
      <top/>
      <bottom/>
      <diagonal/>
    </border>
    <border>
      <left style="hair">
        <color theme="1"/>
      </left>
      <right style="thin">
        <color indexed="64"/>
      </right>
      <top/>
      <bottom style="hair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theme="1"/>
      </top>
      <bottom/>
      <diagonal/>
    </border>
    <border>
      <left/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theme="1"/>
      </bottom>
      <diagonal/>
    </border>
    <border>
      <left/>
      <right style="thin">
        <color indexed="64"/>
      </right>
      <top/>
      <bottom style="hair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76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6" applyNumberFormat="0" applyAlignment="0" applyProtection="0"/>
    <xf numFmtId="0" fontId="10" fillId="0" borderId="0">
      <protection locked="0"/>
    </xf>
    <xf numFmtId="166" fontId="6" fillId="0" borderId="0" applyFont="0" applyFill="0" applyBorder="0" applyAlignment="0" applyProtection="0"/>
    <xf numFmtId="0" fontId="11" fillId="0" borderId="0"/>
    <xf numFmtId="0" fontId="11" fillId="0" borderId="0"/>
    <xf numFmtId="165" fontId="12" fillId="0" borderId="0" applyBorder="0" applyProtection="0"/>
    <xf numFmtId="167" fontId="10" fillId="0" borderId="0">
      <protection locked="0"/>
    </xf>
    <xf numFmtId="0" fontId="13" fillId="9" borderId="0" applyNumberFormat="0" applyBorder="0" applyAlignment="0" applyProtection="0"/>
    <xf numFmtId="0" fontId="14" fillId="0" borderId="0">
      <alignment horizontal="left"/>
    </xf>
    <xf numFmtId="0" fontId="15" fillId="10" borderId="17" applyNumberFormat="0" applyAlignment="0" applyProtection="0"/>
    <xf numFmtId="0" fontId="16" fillId="0" borderId="18" applyNumberFormat="0" applyFill="0" applyAlignment="0" applyProtection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8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9" fillId="11" borderId="0" applyNumberFormat="0" applyBorder="0" applyAlignment="0" applyProtection="0"/>
    <xf numFmtId="0" fontId="6" fillId="0" borderId="0"/>
    <xf numFmtId="0" fontId="6" fillId="0" borderId="0"/>
    <xf numFmtId="0" fontId="2" fillId="0" borderId="0"/>
    <xf numFmtId="0" fontId="6" fillId="12" borderId="19" applyNumberFormat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171" fontId="10" fillId="0" borderId="0">
      <protection locked="0"/>
    </xf>
    <xf numFmtId="172" fontId="10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1" fillId="0" borderId="0">
      <protection locked="0"/>
    </xf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3" fillId="4" borderId="4">
      <alignment wrapText="1"/>
    </xf>
    <xf numFmtId="0" fontId="23" fillId="4" borderId="4">
      <alignment wrapText="1"/>
    </xf>
    <xf numFmtId="0" fontId="24" fillId="0" borderId="20" applyNumberFormat="0" applyFill="0" applyAlignment="0" applyProtection="0"/>
    <xf numFmtId="173" fontId="25" fillId="0" borderId="0">
      <protection locked="0"/>
    </xf>
    <xf numFmtId="173" fontId="25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3" fillId="0" borderId="0"/>
    <xf numFmtId="0" fontId="57" fillId="0" borderId="0"/>
    <xf numFmtId="9" fontId="57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72" fillId="0" borderId="0"/>
    <xf numFmtId="179" fontId="3" fillId="0" borderId="0" applyFill="0" applyBorder="0" applyAlignment="0" applyProtection="0"/>
    <xf numFmtId="164" fontId="3" fillId="0" borderId="0" applyFont="0" applyFill="0" applyBorder="0" applyAlignment="0" applyProtection="0"/>
  </cellStyleXfs>
  <cellXfs count="552">
    <xf numFmtId="0" fontId="0" fillId="0" borderId="0" xfId="0"/>
    <xf numFmtId="0" fontId="30" fillId="0" borderId="0" xfId="0" applyFont="1"/>
    <xf numFmtId="0" fontId="32" fillId="0" borderId="0" xfId="0" applyFont="1"/>
    <xf numFmtId="1" fontId="33" fillId="0" borderId="4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left" vertical="center" wrapText="1"/>
    </xf>
    <xf numFmtId="175" fontId="33" fillId="0" borderId="4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4" fontId="30" fillId="0" borderId="0" xfId="0" applyNumberFormat="1" applyFont="1"/>
    <xf numFmtId="175" fontId="29" fillId="0" borderId="4" xfId="0" applyNumberFormat="1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9" fontId="30" fillId="0" borderId="0" xfId="1" applyFont="1"/>
    <xf numFmtId="0" fontId="28" fillId="0" borderId="11" xfId="0" applyFont="1" applyBorder="1" applyAlignment="1">
      <alignment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11" xfId="0" applyFont="1" applyBorder="1"/>
    <xf numFmtId="0" fontId="28" fillId="0" borderId="0" xfId="0" applyFont="1"/>
    <xf numFmtId="4" fontId="28" fillId="0" borderId="0" xfId="0" applyNumberFormat="1" applyFont="1"/>
    <xf numFmtId="0" fontId="28" fillId="0" borderId="10" xfId="0" applyFont="1" applyBorder="1"/>
    <xf numFmtId="0" fontId="35" fillId="0" borderId="11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0" xfId="0" applyFont="1" applyBorder="1" applyAlignment="1">
      <alignment vertical="center"/>
    </xf>
    <xf numFmtId="0" fontId="30" fillId="0" borderId="14" xfId="0" applyFont="1" applyBorder="1"/>
    <xf numFmtId="0" fontId="30" fillId="0" borderId="9" xfId="0" applyFont="1" applyBorder="1"/>
    <xf numFmtId="4" fontId="30" fillId="0" borderId="9" xfId="0" applyNumberFormat="1" applyFont="1" applyBorder="1"/>
    <xf numFmtId="0" fontId="30" fillId="0" borderId="15" xfId="0" applyFont="1" applyBorder="1"/>
    <xf numFmtId="0" fontId="37" fillId="0" borderId="4" xfId="0" applyFont="1" applyBorder="1" applyAlignment="1">
      <alignment horizontal="center" vertical="center"/>
    </xf>
    <xf numFmtId="4" fontId="37" fillId="0" borderId="4" xfId="0" applyNumberFormat="1" applyFont="1" applyBorder="1" applyAlignment="1">
      <alignment horizontal="center" vertical="center"/>
    </xf>
    <xf numFmtId="0" fontId="28" fillId="0" borderId="0" xfId="3" applyFont="1"/>
    <xf numFmtId="0" fontId="32" fillId="0" borderId="0" xfId="3" applyFont="1"/>
    <xf numFmtId="0" fontId="28" fillId="0" borderId="0" xfId="6" applyFont="1" applyAlignment="1">
      <alignment vertical="center"/>
    </xf>
    <xf numFmtId="0" fontId="28" fillId="0" borderId="0" xfId="6" applyFont="1" applyAlignment="1">
      <alignment horizontal="left" vertical="center"/>
    </xf>
    <xf numFmtId="165" fontId="28" fillId="0" borderId="0" xfId="5" applyNumberFormat="1" applyFont="1" applyFill="1" applyBorder="1" applyAlignment="1" applyProtection="1">
      <alignment horizontal="center" vertical="center"/>
      <protection locked="0"/>
    </xf>
    <xf numFmtId="0" fontId="28" fillId="15" borderId="0" xfId="6" applyFont="1" applyFill="1" applyAlignment="1">
      <alignment vertical="center"/>
    </xf>
    <xf numFmtId="0" fontId="28" fillId="0" borderId="0" xfId="3" applyFont="1" applyAlignment="1">
      <alignment horizontal="right" vertical="center"/>
    </xf>
    <xf numFmtId="0" fontId="28" fillId="0" borderId="0" xfId="3" applyFont="1" applyAlignment="1">
      <alignment horizontal="left" vertical="center"/>
    </xf>
    <xf numFmtId="0" fontId="28" fillId="0" borderId="0" xfId="3" applyFont="1" applyAlignment="1">
      <alignment horizontal="center" vertical="center" wrapText="1"/>
    </xf>
    <xf numFmtId="0" fontId="28" fillId="0" borderId="0" xfId="3" applyFont="1" applyAlignment="1">
      <alignment vertical="center"/>
    </xf>
    <xf numFmtId="0" fontId="28" fillId="0" borderId="0" xfId="3" applyFont="1" applyAlignment="1">
      <alignment horizontal="center" vertical="center"/>
    </xf>
    <xf numFmtId="4" fontId="42" fillId="0" borderId="4" xfId="0" applyNumberFormat="1" applyFont="1" applyBorder="1" applyAlignment="1">
      <alignment horizontal="center" vertical="center" wrapText="1"/>
    </xf>
    <xf numFmtId="0" fontId="41" fillId="13" borderId="0" xfId="3" applyFont="1" applyFill="1"/>
    <xf numFmtId="0" fontId="40" fillId="13" borderId="4" xfId="3" applyFont="1" applyFill="1" applyBorder="1" applyAlignment="1">
      <alignment horizontal="center" vertical="center"/>
    </xf>
    <xf numFmtId="49" fontId="47" fillId="13" borderId="4" xfId="3" applyNumberFormat="1" applyFont="1" applyFill="1" applyBorder="1" applyAlignment="1">
      <alignment horizontal="center" vertical="center" wrapText="1"/>
    </xf>
    <xf numFmtId="10" fontId="47" fillId="13" borderId="4" xfId="3" applyNumberFormat="1" applyFont="1" applyFill="1" applyBorder="1" applyAlignment="1">
      <alignment horizontal="center" vertical="center" wrapText="1"/>
    </xf>
    <xf numFmtId="10" fontId="47" fillId="2" borderId="4" xfId="3" applyNumberFormat="1" applyFont="1" applyFill="1" applyBorder="1" applyAlignment="1">
      <alignment horizontal="center" vertical="center" wrapText="1"/>
    </xf>
    <xf numFmtId="0" fontId="41" fillId="13" borderId="0" xfId="3" applyFont="1" applyFill="1" applyAlignment="1">
      <alignment vertical="center"/>
    </xf>
    <xf numFmtId="49" fontId="48" fillId="13" borderId="4" xfId="3" applyNumberFormat="1" applyFont="1" applyFill="1" applyBorder="1" applyAlignment="1">
      <alignment horizontal="center" vertical="center" wrapText="1"/>
    </xf>
    <xf numFmtId="0" fontId="41" fillId="0" borderId="9" xfId="3" applyFont="1" applyBorder="1" applyAlignment="1">
      <alignment vertical="center"/>
    </xf>
    <xf numFmtId="0" fontId="41" fillId="13" borderId="0" xfId="3" applyFont="1" applyFill="1" applyAlignment="1">
      <alignment wrapText="1"/>
    </xf>
    <xf numFmtId="175" fontId="48" fillId="13" borderId="4" xfId="66" applyNumberFormat="1" applyFont="1" applyFill="1" applyBorder="1" applyAlignment="1">
      <alignment horizontal="center" vertical="center" wrapText="1"/>
    </xf>
    <xf numFmtId="175" fontId="47" fillId="13" borderId="4" xfId="3" applyNumberFormat="1" applyFont="1" applyFill="1" applyBorder="1" applyAlignment="1">
      <alignment horizontal="center" vertical="center" wrapText="1"/>
    </xf>
    <xf numFmtId="165" fontId="28" fillId="0" borderId="0" xfId="5" applyNumberFormat="1" applyFont="1" applyFill="1" applyBorder="1" applyAlignment="1" applyProtection="1">
      <alignment horizontal="left" vertical="center"/>
      <protection hidden="1"/>
    </xf>
    <xf numFmtId="0" fontId="31" fillId="3" borderId="5" xfId="0" applyFont="1" applyFill="1" applyBorder="1" applyAlignment="1">
      <alignment horizontal="center" vertical="center" wrapText="1"/>
    </xf>
    <xf numFmtId="49" fontId="31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left" vertical="center" wrapText="1"/>
    </xf>
    <xf numFmtId="2" fontId="33" fillId="3" borderId="1" xfId="2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75" fontId="31" fillId="3" borderId="6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4" fontId="50" fillId="0" borderId="4" xfId="0" applyNumberFormat="1" applyFont="1" applyBorder="1" applyAlignment="1">
      <alignment horizontal="center" vertical="center" wrapText="1"/>
    </xf>
    <xf numFmtId="0" fontId="28" fillId="0" borderId="9" xfId="3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3" fillId="0" borderId="4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 wrapText="1"/>
    </xf>
    <xf numFmtId="4" fontId="42" fillId="0" borderId="1" xfId="0" applyNumberFormat="1" applyFont="1" applyBorder="1" applyAlignment="1">
      <alignment horizontal="center" vertical="center" wrapText="1"/>
    </xf>
    <xf numFmtId="175" fontId="33" fillId="0" borderId="1" xfId="0" applyNumberFormat="1" applyFont="1" applyBorder="1" applyAlignment="1">
      <alignment horizontal="center" vertical="center" wrapText="1"/>
    </xf>
    <xf numFmtId="175" fontId="33" fillId="0" borderId="6" xfId="0" applyNumberFormat="1" applyFont="1" applyBorder="1" applyAlignment="1">
      <alignment horizontal="center" vertical="center" wrapText="1"/>
    </xf>
    <xf numFmtId="4" fontId="33" fillId="0" borderId="5" xfId="0" applyNumberFormat="1" applyFont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33" fillId="0" borderId="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176" fontId="30" fillId="0" borderId="0" xfId="0" applyNumberFormat="1" applyFont="1"/>
    <xf numFmtId="10" fontId="54" fillId="15" borderId="4" xfId="0" applyNumberFormat="1" applyFont="1" applyFill="1" applyBorder="1" applyAlignment="1">
      <alignment horizontal="center" vertical="center"/>
    </xf>
    <xf numFmtId="175" fontId="30" fillId="0" borderId="0" xfId="0" applyNumberFormat="1" applyFont="1"/>
    <xf numFmtId="0" fontId="29" fillId="0" borderId="8" xfId="3" applyFont="1" applyBorder="1" applyAlignment="1">
      <alignment horizontal="center" vertical="center"/>
    </xf>
    <xf numFmtId="0" fontId="40" fillId="13" borderId="4" xfId="3" applyFont="1" applyFill="1" applyBorder="1" applyAlignment="1">
      <alignment horizontal="center" vertical="center" wrapText="1"/>
    </xf>
    <xf numFmtId="0" fontId="29" fillId="13" borderId="14" xfId="3" applyFont="1" applyFill="1" applyBorder="1" applyAlignment="1">
      <alignment horizontal="center" vertical="center"/>
    </xf>
    <xf numFmtId="174" fontId="29" fillId="13" borderId="15" xfId="3" applyNumberFormat="1" applyFont="1" applyFill="1" applyBorder="1" applyAlignment="1">
      <alignment horizontal="center" vertical="center"/>
    </xf>
    <xf numFmtId="175" fontId="41" fillId="13" borderId="0" xfId="3" applyNumberFormat="1" applyFont="1" applyFill="1" applyAlignment="1">
      <alignment vertical="center"/>
    </xf>
    <xf numFmtId="0" fontId="3" fillId="0" borderId="0" xfId="67"/>
    <xf numFmtId="0" fontId="3" fillId="0" borderId="11" xfId="67" applyBorder="1"/>
    <xf numFmtId="0" fontId="3" fillId="0" borderId="10" xfId="67" applyBorder="1"/>
    <xf numFmtId="9" fontId="60" fillId="18" borderId="25" xfId="67" applyNumberFormat="1" applyFont="1" applyFill="1" applyBorder="1" applyAlignment="1">
      <alignment horizontal="center" vertical="center" wrapText="1"/>
    </xf>
    <xf numFmtId="0" fontId="60" fillId="18" borderId="25" xfId="67" applyFont="1" applyFill="1" applyBorder="1" applyAlignment="1">
      <alignment horizontal="center" vertical="center" wrapText="1"/>
    </xf>
    <xf numFmtId="10" fontId="4" fillId="0" borderId="24" xfId="67" applyNumberFormat="1" applyFont="1" applyBorder="1" applyAlignment="1">
      <alignment horizontal="left" vertical="center" wrapText="1"/>
    </xf>
    <xf numFmtId="10" fontId="56" fillId="0" borderId="22" xfId="67" applyNumberFormat="1" applyFont="1" applyBorder="1" applyAlignment="1">
      <alignment horizontal="center" vertical="center"/>
    </xf>
    <xf numFmtId="9" fontId="4" fillId="0" borderId="25" xfId="70" applyFont="1" applyBorder="1" applyAlignment="1">
      <alignment horizontal="center" vertical="center"/>
    </xf>
    <xf numFmtId="177" fontId="4" fillId="0" borderId="31" xfId="70" applyNumberFormat="1" applyFont="1" applyBorder="1" applyAlignment="1">
      <alignment horizontal="center" vertical="center"/>
    </xf>
    <xf numFmtId="10" fontId="4" fillId="0" borderId="25" xfId="70" applyNumberFormat="1" applyFont="1" applyBorder="1" applyAlignment="1">
      <alignment horizontal="center" vertical="center"/>
    </xf>
    <xf numFmtId="10" fontId="4" fillId="0" borderId="25" xfId="70" applyNumberFormat="1" applyFont="1" applyFill="1" applyBorder="1" applyAlignment="1">
      <alignment horizontal="center" vertical="center"/>
    </xf>
    <xf numFmtId="10" fontId="4" fillId="0" borderId="25" xfId="67" applyNumberFormat="1" applyFont="1" applyBorder="1" applyAlignment="1">
      <alignment horizontal="center" vertical="center"/>
    </xf>
    <xf numFmtId="10" fontId="4" fillId="0" borderId="22" xfId="67" applyNumberFormat="1" applyFont="1" applyBorder="1" applyAlignment="1">
      <alignment horizontal="center" vertical="center"/>
    </xf>
    <xf numFmtId="10" fontId="56" fillId="0" borderId="25" xfId="70" applyNumberFormat="1" applyFont="1" applyBorder="1" applyAlignment="1">
      <alignment horizontal="center" vertical="center"/>
    </xf>
    <xf numFmtId="177" fontId="56" fillId="0" borderId="31" xfId="70" applyNumberFormat="1" applyFont="1" applyBorder="1" applyAlignment="1">
      <alignment horizontal="center" vertical="center"/>
    </xf>
    <xf numFmtId="10" fontId="4" fillId="19" borderId="25" xfId="70" applyNumberFormat="1" applyFont="1" applyFill="1" applyBorder="1" applyAlignment="1">
      <alignment horizontal="center" vertical="center"/>
    </xf>
    <xf numFmtId="10" fontId="4" fillId="0" borderId="25" xfId="1" applyNumberFormat="1" applyFont="1" applyBorder="1" applyAlignment="1">
      <alignment horizontal="center" vertical="center"/>
    </xf>
    <xf numFmtId="10" fontId="64" fillId="0" borderId="25" xfId="70" applyNumberFormat="1" applyFont="1" applyBorder="1" applyAlignment="1">
      <alignment horizontal="center" vertical="center"/>
    </xf>
    <xf numFmtId="0" fontId="28" fillId="0" borderId="11" xfId="67" applyFont="1" applyBorder="1" applyAlignment="1">
      <alignment horizontal="right"/>
    </xf>
    <xf numFmtId="14" fontId="28" fillId="0" borderId="0" xfId="67" applyNumberFormat="1" applyFont="1"/>
    <xf numFmtId="0" fontId="28" fillId="0" borderId="0" xfId="67" applyFont="1"/>
    <xf numFmtId="0" fontId="28" fillId="0" borderId="0" xfId="67" applyFont="1" applyAlignment="1">
      <alignment horizontal="right"/>
    </xf>
    <xf numFmtId="16" fontId="28" fillId="0" borderId="0" xfId="67" applyNumberFormat="1" applyFont="1"/>
    <xf numFmtId="0" fontId="28" fillId="0" borderId="10" xfId="67" applyFont="1" applyBorder="1"/>
    <xf numFmtId="0" fontId="28" fillId="0" borderId="11" xfId="67" applyFont="1" applyBorder="1"/>
    <xf numFmtId="0" fontId="28" fillId="0" borderId="0" xfId="67" applyFont="1" applyAlignment="1">
      <alignment horizontal="center"/>
    </xf>
    <xf numFmtId="0" fontId="28" fillId="0" borderId="14" xfId="67" applyFont="1" applyBorder="1"/>
    <xf numFmtId="0" fontId="28" fillId="0" borderId="9" xfId="67" applyFont="1" applyBorder="1"/>
    <xf numFmtId="0" fontId="28" fillId="0" borderId="15" xfId="67" applyFont="1" applyBorder="1"/>
    <xf numFmtId="0" fontId="66" fillId="0" borderId="4" xfId="0" applyFont="1" applyBorder="1" applyAlignment="1">
      <alignment horizontal="center" vertical="center" wrapText="1"/>
    </xf>
    <xf numFmtId="0" fontId="66" fillId="0" borderId="4" xfId="0" applyFont="1" applyBorder="1" applyAlignment="1">
      <alignment horizontal="left" vertical="center" wrapText="1"/>
    </xf>
    <xf numFmtId="175" fontId="66" fillId="0" borderId="4" xfId="0" applyNumberFormat="1" applyFont="1" applyBorder="1" applyAlignment="1">
      <alignment horizontal="center" vertical="center" wrapText="1"/>
    </xf>
    <xf numFmtId="0" fontId="65" fillId="0" borderId="0" xfId="0" applyFont="1"/>
    <xf numFmtId="0" fontId="28" fillId="13" borderId="5" xfId="3" applyFont="1" applyFill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68" fillId="0" borderId="3" xfId="71" applyFont="1" applyBorder="1" applyAlignment="1">
      <alignment vertical="center" wrapText="1"/>
    </xf>
    <xf numFmtId="0" fontId="68" fillId="0" borderId="46" xfId="71" applyFont="1" applyBorder="1" applyAlignment="1">
      <alignment vertical="center" wrapText="1"/>
    </xf>
    <xf numFmtId="2" fontId="72" fillId="0" borderId="4" xfId="71" applyNumberFormat="1" applyFont="1" applyBorder="1" applyAlignment="1">
      <alignment horizontal="center" vertical="center"/>
    </xf>
    <xf numFmtId="0" fontId="0" fillId="3" borderId="9" xfId="0" applyFill="1" applyBorder="1"/>
    <xf numFmtId="0" fontId="0" fillId="3" borderId="8" xfId="0" applyFill="1" applyBorder="1"/>
    <xf numFmtId="0" fontId="31" fillId="3" borderId="53" xfId="0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2" fontId="72" fillId="0" borderId="56" xfId="71" applyNumberFormat="1" applyFont="1" applyBorder="1" applyAlignment="1">
      <alignment horizontal="center" vertical="center"/>
    </xf>
    <xf numFmtId="175" fontId="33" fillId="0" borderId="56" xfId="0" applyNumberFormat="1" applyFont="1" applyBorder="1" applyAlignment="1">
      <alignment horizontal="center" vertical="center" wrapText="1"/>
    </xf>
    <xf numFmtId="0" fontId="69" fillId="0" borderId="51" xfId="71" applyFont="1" applyBorder="1" applyAlignment="1">
      <alignment vertical="top" wrapText="1"/>
    </xf>
    <xf numFmtId="0" fontId="69" fillId="0" borderId="10" xfId="71" applyFont="1" applyBorder="1" applyAlignment="1">
      <alignment horizontal="center" vertical="center" wrapText="1"/>
    </xf>
    <xf numFmtId="0" fontId="76" fillId="0" borderId="11" xfId="71" applyFont="1" applyBorder="1" applyAlignment="1">
      <alignment vertical="top" wrapText="1"/>
    </xf>
    <xf numFmtId="0" fontId="76" fillId="0" borderId="48" xfId="71" applyFont="1" applyBorder="1" applyAlignment="1">
      <alignment vertical="top" wrapText="1"/>
    </xf>
    <xf numFmtId="0" fontId="76" fillId="0" borderId="61" xfId="71" applyFont="1" applyBorder="1" applyAlignment="1">
      <alignment vertical="top" wrapText="1"/>
    </xf>
    <xf numFmtId="0" fontId="76" fillId="0" borderId="7" xfId="71" applyFont="1" applyBorder="1" applyAlignment="1">
      <alignment vertical="top" wrapText="1"/>
    </xf>
    <xf numFmtId="0" fontId="76" fillId="0" borderId="62" xfId="71" applyFont="1" applyBorder="1" applyAlignment="1">
      <alignment vertical="top" wrapText="1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69" fillId="20" borderId="4" xfId="71" applyFont="1" applyFill="1" applyBorder="1" applyAlignment="1">
      <alignment horizontal="center" vertical="center" wrapText="1"/>
    </xf>
    <xf numFmtId="0" fontId="69" fillId="0" borderId="0" xfId="71" applyFont="1" applyAlignment="1">
      <alignment vertical="top" wrapText="1"/>
    </xf>
    <xf numFmtId="0" fontId="3" fillId="0" borderId="0" xfId="71"/>
    <xf numFmtId="0" fontId="69" fillId="0" borderId="0" xfId="71" applyFont="1" applyAlignment="1">
      <alignment horizontal="center" vertical="center" wrapText="1"/>
    </xf>
    <xf numFmtId="0" fontId="76" fillId="0" borderId="0" xfId="71" applyFont="1" applyAlignment="1">
      <alignment vertical="top" wrapText="1"/>
    </xf>
    <xf numFmtId="0" fontId="31" fillId="3" borderId="47" xfId="0" applyFont="1" applyFill="1" applyBorder="1" applyAlignment="1">
      <alignment horizontal="center" vertical="center" wrapText="1"/>
    </xf>
    <xf numFmtId="165" fontId="28" fillId="0" borderId="4" xfId="8" applyNumberFormat="1" applyFont="1" applyFill="1" applyBorder="1" applyAlignment="1">
      <alignment horizontal="center" vertical="center"/>
    </xf>
    <xf numFmtId="165" fontId="28" fillId="0" borderId="4" xfId="8" applyNumberFormat="1" applyFont="1" applyFill="1" applyBorder="1" applyAlignment="1">
      <alignment horizontal="left" vertical="center"/>
    </xf>
    <xf numFmtId="178" fontId="29" fillId="14" borderId="4" xfId="8" applyNumberFormat="1" applyFont="1" applyFill="1" applyBorder="1" applyAlignment="1">
      <alignment horizontal="right" vertical="center"/>
    </xf>
    <xf numFmtId="4" fontId="28" fillId="0" borderId="4" xfId="71" applyNumberFormat="1" applyFont="1" applyBorder="1" applyAlignment="1" applyProtection="1">
      <alignment horizontal="center" vertical="center" wrapText="1"/>
      <protection locked="0"/>
    </xf>
    <xf numFmtId="4" fontId="28" fillId="2" borderId="11" xfId="71" applyNumberFormat="1" applyFont="1" applyFill="1" applyBorder="1" applyAlignment="1" applyProtection="1">
      <alignment horizontal="center" vertical="center" wrapText="1"/>
      <protection locked="0"/>
    </xf>
    <xf numFmtId="10" fontId="78" fillId="15" borderId="4" xfId="1" applyNumberFormat="1" applyFont="1" applyFill="1" applyBorder="1" applyAlignment="1">
      <alignment horizontal="center" vertical="center"/>
    </xf>
    <xf numFmtId="4" fontId="28" fillId="0" borderId="54" xfId="71" applyNumberFormat="1" applyFont="1" applyBorder="1" applyAlignment="1" applyProtection="1">
      <alignment horizontal="center" vertical="center" wrapText="1"/>
      <protection locked="0"/>
    </xf>
    <xf numFmtId="0" fontId="31" fillId="21" borderId="5" xfId="0" applyFont="1" applyFill="1" applyBorder="1" applyAlignment="1">
      <alignment horizontal="center" vertical="center" wrapText="1"/>
    </xf>
    <xf numFmtId="0" fontId="31" fillId="21" borderId="1" xfId="0" applyFont="1" applyFill="1" applyBorder="1" applyAlignment="1">
      <alignment horizontal="center" vertical="center" wrapText="1"/>
    </xf>
    <xf numFmtId="0" fontId="31" fillId="21" borderId="1" xfId="0" applyFont="1" applyFill="1" applyBorder="1" applyAlignment="1">
      <alignment horizontal="left" vertical="center" wrapText="1"/>
    </xf>
    <xf numFmtId="4" fontId="31" fillId="21" borderId="1" xfId="0" applyNumberFormat="1" applyFont="1" applyFill="1" applyBorder="1" applyAlignment="1">
      <alignment horizontal="center" vertical="center" wrapText="1"/>
    </xf>
    <xf numFmtId="175" fontId="31" fillId="21" borderId="6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51" xfId="3" applyFont="1" applyBorder="1" applyAlignment="1" applyProtection="1">
      <alignment vertical="center" wrapText="1"/>
      <protection locked="0"/>
    </xf>
    <xf numFmtId="0" fontId="28" fillId="0" borderId="0" xfId="3" applyFont="1" applyAlignment="1" applyProtection="1">
      <alignment vertical="center" wrapText="1"/>
      <protection locked="0"/>
    </xf>
    <xf numFmtId="0" fontId="28" fillId="0" borderId="0" xfId="3" applyFont="1" applyAlignment="1">
      <alignment vertical="center" wrapText="1"/>
    </xf>
    <xf numFmtId="0" fontId="28" fillId="0" borderId="0" xfId="3" applyFont="1" applyAlignment="1" applyProtection="1">
      <alignment horizontal="center" vertical="center" wrapText="1"/>
      <protection locked="0"/>
    </xf>
    <xf numFmtId="0" fontId="28" fillId="0" borderId="48" xfId="3" applyFont="1" applyBorder="1" applyAlignment="1">
      <alignment horizontal="center" vertical="center"/>
    </xf>
    <xf numFmtId="14" fontId="28" fillId="0" borderId="0" xfId="3" applyNumberFormat="1" applyFont="1" applyAlignment="1" applyProtection="1">
      <alignment horizontal="center" vertical="center" wrapText="1"/>
      <protection locked="0"/>
    </xf>
    <xf numFmtId="0" fontId="32" fillId="0" borderId="0" xfId="3" applyFont="1" applyAlignment="1">
      <alignment vertical="center" wrapText="1"/>
    </xf>
    <xf numFmtId="0" fontId="32" fillId="0" borderId="48" xfId="3" applyFont="1" applyBorder="1" applyAlignment="1">
      <alignment horizontal="center" vertical="center"/>
    </xf>
    <xf numFmtId="1" fontId="32" fillId="0" borderId="0" xfId="3" applyNumberFormat="1" applyFont="1" applyAlignment="1" applyProtection="1">
      <alignment vertical="center" wrapText="1"/>
      <protection locked="0"/>
    </xf>
    <xf numFmtId="0" fontId="29" fillId="4" borderId="51" xfId="3" applyFont="1" applyFill="1" applyBorder="1" applyAlignment="1" applyProtection="1">
      <alignment horizontal="center" vertical="center"/>
      <protection locked="0"/>
    </xf>
    <xf numFmtId="49" fontId="28" fillId="0" borderId="51" xfId="4" applyNumberFormat="1" applyFont="1" applyFill="1" applyBorder="1" applyAlignment="1" applyProtection="1">
      <alignment horizontal="center" vertical="center" wrapText="1"/>
      <protection locked="0"/>
    </xf>
    <xf numFmtId="43" fontId="28" fillId="0" borderId="0" xfId="3" applyNumberFormat="1" applyFont="1" applyAlignment="1" applyProtection="1">
      <alignment horizontal="center" vertical="center"/>
      <protection locked="0"/>
    </xf>
    <xf numFmtId="0" fontId="28" fillId="0" borderId="0" xfId="3" applyFont="1" applyAlignment="1" applyProtection="1">
      <alignment horizontal="center" vertical="center"/>
      <protection locked="0"/>
    </xf>
    <xf numFmtId="0" fontId="28" fillId="0" borderId="48" xfId="6" applyFont="1" applyBorder="1" applyAlignment="1">
      <alignment vertical="center"/>
    </xf>
    <xf numFmtId="3" fontId="29" fillId="5" borderId="51" xfId="3" applyNumberFormat="1" applyFont="1" applyFill="1" applyBorder="1" applyAlignment="1" applyProtection="1">
      <alignment horizontal="center" vertical="center" wrapText="1"/>
      <protection locked="0"/>
    </xf>
    <xf numFmtId="0" fontId="28" fillId="5" borderId="51" xfId="3" applyFont="1" applyFill="1" applyBorder="1" applyAlignment="1" applyProtection="1">
      <alignment horizontal="center" vertical="center" wrapText="1"/>
      <protection locked="0"/>
    </xf>
    <xf numFmtId="165" fontId="28" fillId="0" borderId="54" xfId="8" applyNumberFormat="1" applyFont="1" applyFill="1" applyBorder="1" applyAlignment="1">
      <alignment horizontal="center" vertical="center"/>
    </xf>
    <xf numFmtId="4" fontId="28" fillId="0" borderId="54" xfId="8" applyNumberFormat="1" applyFont="1" applyFill="1" applyBorder="1" applyAlignment="1" applyProtection="1">
      <alignment horizontal="center" vertical="center"/>
      <protection hidden="1"/>
    </xf>
    <xf numFmtId="0" fontId="29" fillId="5" borderId="51" xfId="3" applyFont="1" applyFill="1" applyBorder="1" applyAlignment="1" applyProtection="1">
      <alignment horizontal="center" vertical="center" wrapText="1"/>
      <protection locked="0"/>
    </xf>
    <xf numFmtId="0" fontId="28" fillId="0" borderId="48" xfId="3" applyFont="1" applyBorder="1" applyAlignment="1" applyProtection="1">
      <alignment vertical="center" wrapText="1"/>
      <protection locked="0"/>
    </xf>
    <xf numFmtId="0" fontId="0" fillId="0" borderId="0" xfId="72" applyFont="1"/>
    <xf numFmtId="0" fontId="77" fillId="0" borderId="0" xfId="72" applyFont="1" applyAlignment="1">
      <alignment horizontal="center"/>
    </xf>
    <xf numFmtId="0" fontId="74" fillId="0" borderId="0" xfId="72" applyFont="1"/>
    <xf numFmtId="0" fontId="72" fillId="0" borderId="0" xfId="72" applyFont="1" applyAlignment="1">
      <alignment horizontal="left"/>
    </xf>
    <xf numFmtId="0" fontId="3" fillId="0" borderId="8" xfId="67" applyBorder="1"/>
    <xf numFmtId="0" fontId="3" fillId="0" borderId="2" xfId="67" applyBorder="1"/>
    <xf numFmtId="0" fontId="80" fillId="0" borderId="76" xfId="72" applyFont="1" applyBorder="1" applyAlignment="1">
      <alignment horizontal="center" vertical="center"/>
    </xf>
    <xf numFmtId="10" fontId="80" fillId="0" borderId="76" xfId="72" applyNumberFormat="1" applyFont="1" applyBorder="1" applyAlignment="1">
      <alignment horizontal="center" vertical="center"/>
    </xf>
    <xf numFmtId="10" fontId="80" fillId="0" borderId="76" xfId="72" applyNumberFormat="1" applyFont="1" applyBorder="1" applyAlignment="1">
      <alignment horizontal="center" vertical="center" wrapText="1"/>
    </xf>
    <xf numFmtId="0" fontId="80" fillId="0" borderId="76" xfId="72" applyFont="1" applyBorder="1" applyAlignment="1">
      <alignment horizontal="center" vertical="center" wrapText="1"/>
    </xf>
    <xf numFmtId="0" fontId="80" fillId="24" borderId="76" xfId="72" applyFont="1" applyFill="1" applyBorder="1" applyAlignment="1">
      <alignment horizontal="center" vertical="center" wrapText="1"/>
    </xf>
    <xf numFmtId="10" fontId="79" fillId="24" borderId="76" xfId="72" applyNumberFormat="1" applyFont="1" applyFill="1" applyBorder="1" applyAlignment="1">
      <alignment horizontal="center" vertical="center"/>
    </xf>
    <xf numFmtId="0" fontId="3" fillId="0" borderId="14" xfId="67" applyBorder="1"/>
    <xf numFmtId="0" fontId="3" fillId="0" borderId="9" xfId="67" applyBorder="1"/>
    <xf numFmtId="0" fontId="3" fillId="0" borderId="15" xfId="67" applyBorder="1"/>
    <xf numFmtId="0" fontId="81" fillId="0" borderId="0" xfId="72" applyFont="1" applyAlignment="1">
      <alignment horizontal="right" vertical="center"/>
    </xf>
    <xf numFmtId="0" fontId="0" fillId="0" borderId="0" xfId="72" applyFont="1" applyAlignment="1">
      <alignment horizontal="center" vertical="top"/>
    </xf>
    <xf numFmtId="0" fontId="83" fillId="0" borderId="0" xfId="67" applyFont="1" applyAlignment="1">
      <alignment horizontal="right" vertical="center"/>
    </xf>
    <xf numFmtId="0" fontId="83" fillId="0" borderId="0" xfId="67" applyFont="1" applyAlignment="1">
      <alignment horizontal="left" vertical="center"/>
    </xf>
    <xf numFmtId="10" fontId="0" fillId="0" borderId="0" xfId="72" applyNumberFormat="1" applyFont="1" applyAlignment="1">
      <alignment horizontal="center" vertical="top"/>
    </xf>
    <xf numFmtId="0" fontId="83" fillId="0" borderId="0" xfId="67" applyFont="1" applyAlignment="1">
      <alignment horizontal="center" vertical="top"/>
    </xf>
    <xf numFmtId="0" fontId="85" fillId="0" borderId="0" xfId="72" applyFont="1" applyAlignment="1">
      <alignment horizontal="center" vertical="top"/>
    </xf>
    <xf numFmtId="181" fontId="0" fillId="0" borderId="78" xfId="72" applyNumberFormat="1" applyFont="1" applyBorder="1"/>
    <xf numFmtId="182" fontId="0" fillId="0" borderId="0" xfId="72" applyNumberFormat="1" applyFont="1"/>
    <xf numFmtId="0" fontId="74" fillId="0" borderId="79" xfId="72" applyFont="1" applyBorder="1" applyAlignment="1">
      <alignment horizontal="left"/>
    </xf>
    <xf numFmtId="0" fontId="0" fillId="0" borderId="79" xfId="72" applyFont="1" applyBorder="1"/>
    <xf numFmtId="0" fontId="80" fillId="0" borderId="0" xfId="72" applyFont="1"/>
    <xf numFmtId="0" fontId="74" fillId="0" borderId="0" xfId="73" applyFont="1" applyAlignment="1">
      <alignment horizontal="left" vertical="top"/>
    </xf>
    <xf numFmtId="0" fontId="0" fillId="0" borderId="0" xfId="72" applyFont="1" applyAlignment="1">
      <alignment vertical="top"/>
    </xf>
    <xf numFmtId="0" fontId="86" fillId="0" borderId="0" xfId="72" applyFont="1" applyAlignment="1">
      <alignment vertical="top"/>
    </xf>
    <xf numFmtId="180" fontId="0" fillId="0" borderId="0" xfId="72" applyNumberFormat="1" applyFont="1"/>
    <xf numFmtId="0" fontId="87" fillId="0" borderId="0" xfId="67" applyFont="1"/>
    <xf numFmtId="0" fontId="86" fillId="0" borderId="0" xfId="67" applyFont="1"/>
    <xf numFmtId="0" fontId="88" fillId="0" borderId="0" xfId="67" applyFont="1"/>
    <xf numFmtId="10" fontId="80" fillId="11" borderId="76" xfId="72" applyNumberFormat="1" applyFont="1" applyFill="1" applyBorder="1" applyAlignment="1" applyProtection="1">
      <alignment horizontal="center" vertical="center"/>
      <protection locked="0"/>
    </xf>
    <xf numFmtId="0" fontId="86" fillId="0" borderId="0" xfId="67" applyFont="1" applyAlignment="1">
      <alignment vertical="center"/>
    </xf>
    <xf numFmtId="180" fontId="0" fillId="0" borderId="0" xfId="72" applyNumberFormat="1" applyFont="1" applyAlignment="1">
      <alignment vertical="top"/>
    </xf>
    <xf numFmtId="10" fontId="41" fillId="13" borderId="0" xfId="3" applyNumberFormat="1" applyFont="1" applyFill="1" applyAlignment="1">
      <alignment vertical="center"/>
    </xf>
    <xf numFmtId="4" fontId="29" fillId="16" borderId="64" xfId="3" applyNumberFormat="1" applyFont="1" applyFill="1" applyBorder="1" applyAlignment="1" applyProtection="1">
      <alignment horizontal="center" vertical="center" wrapText="1"/>
      <protection locked="0"/>
    </xf>
    <xf numFmtId="0" fontId="29" fillId="16" borderId="65" xfId="3" applyFont="1" applyFill="1" applyBorder="1" applyAlignment="1" applyProtection="1">
      <alignment horizontal="center" vertical="center" wrapText="1"/>
      <protection locked="0"/>
    </xf>
    <xf numFmtId="0" fontId="29" fillId="13" borderId="5" xfId="3" applyFont="1" applyFill="1" applyBorder="1" applyAlignment="1">
      <alignment vertical="center"/>
    </xf>
    <xf numFmtId="0" fontId="29" fillId="13" borderId="1" xfId="3" applyFont="1" applyFill="1" applyBorder="1" applyAlignment="1">
      <alignment vertical="center"/>
    </xf>
    <xf numFmtId="0" fontId="29" fillId="13" borderId="6" xfId="3" applyFont="1" applyFill="1" applyBorder="1" applyAlignment="1">
      <alignment vertical="center"/>
    </xf>
    <xf numFmtId="0" fontId="40" fillId="13" borderId="11" xfId="3" applyFont="1" applyFill="1" applyBorder="1" applyAlignment="1">
      <alignment wrapText="1"/>
    </xf>
    <xf numFmtId="0" fontId="40" fillId="13" borderId="0" xfId="3" applyFont="1" applyFill="1" applyAlignment="1">
      <alignment wrapText="1"/>
    </xf>
    <xf numFmtId="0" fontId="40" fillId="13" borderId="11" xfId="3" applyFont="1" applyFill="1" applyBorder="1"/>
    <xf numFmtId="0" fontId="40" fillId="0" borderId="0" xfId="3" applyFont="1" applyAlignment="1">
      <alignment vertical="center"/>
    </xf>
    <xf numFmtId="0" fontId="41" fillId="13" borderId="11" xfId="3" applyFont="1" applyFill="1" applyBorder="1"/>
    <xf numFmtId="0" fontId="45" fillId="13" borderId="11" xfId="3" applyFont="1" applyFill="1" applyBorder="1"/>
    <xf numFmtId="0" fontId="45" fillId="13" borderId="0" xfId="3" applyFont="1" applyFill="1" applyAlignment="1">
      <alignment wrapText="1"/>
    </xf>
    <xf numFmtId="0" fontId="40" fillId="13" borderId="0" xfId="3" applyFont="1" applyFill="1" applyAlignment="1">
      <alignment horizontal="right"/>
    </xf>
    <xf numFmtId="0" fontId="41" fillId="13" borderId="14" xfId="3" applyFont="1" applyFill="1" applyBorder="1"/>
    <xf numFmtId="0" fontId="28" fillId="13" borderId="9" xfId="3" applyFont="1" applyFill="1" applyBorder="1" applyAlignment="1">
      <alignment horizontal="center" vertical="center"/>
    </xf>
    <xf numFmtId="0" fontId="41" fillId="13" borderId="9" xfId="3" applyFont="1" applyFill="1" applyBorder="1" applyAlignment="1">
      <alignment wrapText="1"/>
    </xf>
    <xf numFmtId="0" fontId="41" fillId="13" borderId="9" xfId="3" applyFont="1" applyFill="1" applyBorder="1"/>
    <xf numFmtId="0" fontId="28" fillId="0" borderId="0" xfId="0" applyFont="1" applyAlignment="1">
      <alignment horizontal="center"/>
    </xf>
    <xf numFmtId="0" fontId="28" fillId="0" borderId="5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15" borderId="4" xfId="0" applyFont="1" applyFill="1" applyBorder="1" applyAlignment="1">
      <alignment horizontal="left" vertical="center" wrapText="1"/>
    </xf>
    <xf numFmtId="0" fontId="28" fillId="15" borderId="4" xfId="0" applyFont="1" applyFill="1" applyBorder="1" applyAlignment="1">
      <alignment horizontal="left" vertical="center"/>
    </xf>
    <xf numFmtId="0" fontId="28" fillId="15" borderId="5" xfId="0" applyFont="1" applyFill="1" applyBorder="1" applyAlignment="1">
      <alignment horizontal="left" vertical="center" wrapText="1"/>
    </xf>
    <xf numFmtId="0" fontId="28" fillId="15" borderId="1" xfId="0" applyFont="1" applyFill="1" applyBorder="1" applyAlignment="1">
      <alignment horizontal="left" vertical="center" wrapText="1"/>
    </xf>
    <xf numFmtId="0" fontId="28" fillId="15" borderId="6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/>
    </xf>
    <xf numFmtId="0" fontId="52" fillId="15" borderId="5" xfId="0" applyFont="1" applyFill="1" applyBorder="1" applyAlignment="1">
      <alignment horizontal="left" vertical="center" wrapText="1"/>
    </xf>
    <xf numFmtId="0" fontId="52" fillId="15" borderId="1" xfId="0" applyFont="1" applyFill="1" applyBorder="1" applyAlignment="1">
      <alignment horizontal="left" vertical="center" wrapText="1"/>
    </xf>
    <xf numFmtId="0" fontId="52" fillId="15" borderId="6" xfId="0" applyFont="1" applyFill="1" applyBorder="1" applyAlignment="1">
      <alignment horizontal="left" vertical="center" wrapText="1"/>
    </xf>
    <xf numFmtId="0" fontId="43" fillId="0" borderId="5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14" fontId="39" fillId="0" borderId="1" xfId="0" applyNumberFormat="1" applyFont="1" applyBorder="1" applyAlignment="1">
      <alignment horizontal="center" vertical="center"/>
    </xf>
    <xf numFmtId="14" fontId="39" fillId="0" borderId="6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36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2" fontId="39" fillId="0" borderId="1" xfId="0" applyNumberFormat="1" applyFont="1" applyBorder="1" applyAlignment="1">
      <alignment horizontal="center" vertical="center"/>
    </xf>
    <xf numFmtId="2" fontId="39" fillId="0" borderId="6" xfId="0" applyNumberFormat="1" applyFont="1" applyBorder="1" applyAlignment="1">
      <alignment horizontal="center" vertical="center"/>
    </xf>
    <xf numFmtId="0" fontId="69" fillId="0" borderId="51" xfId="71" applyFont="1" applyBorder="1" applyAlignment="1">
      <alignment horizontal="center" vertical="top" wrapText="1"/>
    </xf>
    <xf numFmtId="0" fontId="69" fillId="0" borderId="0" xfId="71" applyFont="1" applyAlignment="1">
      <alignment horizontal="center" vertical="top" wrapText="1"/>
    </xf>
    <xf numFmtId="0" fontId="69" fillId="0" borderId="10" xfId="71" applyFont="1" applyBorder="1" applyAlignment="1">
      <alignment horizontal="center" vertical="top" wrapText="1"/>
    </xf>
    <xf numFmtId="0" fontId="69" fillId="0" borderId="47" xfId="71" applyFont="1" applyBorder="1" applyAlignment="1">
      <alignment horizontal="center" vertical="top" wrapText="1"/>
    </xf>
    <xf numFmtId="0" fontId="69" fillId="0" borderId="9" xfId="71" applyFont="1" applyBorder="1" applyAlignment="1">
      <alignment horizontal="center" vertical="top" wrapText="1"/>
    </xf>
    <xf numFmtId="0" fontId="69" fillId="0" borderId="15" xfId="71" applyFont="1" applyBorder="1" applyAlignment="1">
      <alignment horizontal="center" vertical="top" wrapText="1"/>
    </xf>
    <xf numFmtId="0" fontId="69" fillId="0" borderId="11" xfId="71" applyFont="1" applyBorder="1" applyAlignment="1">
      <alignment horizontal="center" vertical="center" wrapText="1"/>
    </xf>
    <xf numFmtId="0" fontId="69" fillId="0" borderId="0" xfId="71" applyFont="1" applyAlignment="1">
      <alignment horizontal="center" vertical="center" wrapText="1"/>
    </xf>
    <xf numFmtId="0" fontId="69" fillId="0" borderId="10" xfId="71" applyFont="1" applyBorder="1" applyAlignment="1">
      <alignment horizontal="center" vertical="center" wrapText="1"/>
    </xf>
    <xf numFmtId="0" fontId="69" fillId="0" borderId="14" xfId="71" applyFont="1" applyBorder="1" applyAlignment="1">
      <alignment horizontal="center" vertical="center" wrapText="1"/>
    </xf>
    <xf numFmtId="0" fontId="69" fillId="0" borderId="9" xfId="71" applyFont="1" applyBorder="1" applyAlignment="1">
      <alignment horizontal="center" vertical="center" wrapText="1"/>
    </xf>
    <xf numFmtId="0" fontId="69" fillId="0" borderId="15" xfId="71" applyFont="1" applyBorder="1" applyAlignment="1">
      <alignment horizontal="center" vertical="center" wrapText="1"/>
    </xf>
    <xf numFmtId="0" fontId="69" fillId="0" borderId="55" xfId="71" applyFont="1" applyBorder="1" applyAlignment="1">
      <alignment horizontal="center" vertical="center" wrapText="1"/>
    </xf>
    <xf numFmtId="0" fontId="69" fillId="0" borderId="56" xfId="71" applyFont="1" applyBorder="1" applyAlignment="1">
      <alignment horizontal="center" vertical="center" wrapText="1"/>
    </xf>
    <xf numFmtId="0" fontId="69" fillId="0" borderId="57" xfId="71" applyFont="1" applyBorder="1" applyAlignment="1">
      <alignment horizontal="center" vertical="center" wrapText="1"/>
    </xf>
    <xf numFmtId="0" fontId="69" fillId="0" borderId="58" xfId="71" applyFont="1" applyBorder="1" applyAlignment="1">
      <alignment horizontal="center" vertical="center" wrapText="1"/>
    </xf>
    <xf numFmtId="0" fontId="73" fillId="0" borderId="56" xfId="71" applyFont="1" applyBorder="1" applyAlignment="1">
      <alignment horizontal="center" vertical="center" wrapText="1"/>
    </xf>
    <xf numFmtId="176" fontId="77" fillId="0" borderId="4" xfId="71" applyNumberFormat="1" applyFont="1" applyBorder="1" applyAlignment="1">
      <alignment horizontal="center" vertical="center" wrapText="1"/>
    </xf>
    <xf numFmtId="0" fontId="69" fillId="0" borderId="45" xfId="71" applyFont="1" applyBorder="1" applyAlignment="1">
      <alignment horizontal="left" vertical="center" wrapText="1"/>
    </xf>
    <xf numFmtId="0" fontId="69" fillId="0" borderId="8" xfId="71" applyFont="1" applyBorder="1" applyAlignment="1">
      <alignment horizontal="left" vertical="center" wrapText="1"/>
    </xf>
    <xf numFmtId="0" fontId="69" fillId="0" borderId="3" xfId="71" applyFont="1" applyBorder="1" applyAlignment="1">
      <alignment horizontal="center" vertical="center" wrapText="1"/>
    </xf>
    <xf numFmtId="0" fontId="69" fillId="0" borderId="8" xfId="71" applyFont="1" applyBorder="1" applyAlignment="1">
      <alignment horizontal="center" vertical="center" wrapText="1"/>
    </xf>
    <xf numFmtId="0" fontId="69" fillId="0" borderId="2" xfId="71" applyFont="1" applyBorder="1" applyAlignment="1">
      <alignment horizontal="center" vertical="center" wrapText="1"/>
    </xf>
    <xf numFmtId="0" fontId="69" fillId="0" borderId="3" xfId="71" applyFont="1" applyBorder="1" applyAlignment="1">
      <alignment horizontal="left" vertical="center"/>
    </xf>
    <xf numFmtId="0" fontId="69" fillId="0" borderId="2" xfId="71" applyFont="1" applyBorder="1" applyAlignment="1">
      <alignment horizontal="left" vertical="center"/>
    </xf>
    <xf numFmtId="0" fontId="69" fillId="0" borderId="8" xfId="71" applyFont="1" applyBorder="1" applyAlignment="1">
      <alignment vertical="center" wrapText="1"/>
    </xf>
    <xf numFmtId="0" fontId="69" fillId="0" borderId="2" xfId="71" applyFont="1" applyBorder="1" applyAlignment="1">
      <alignment vertical="center" wrapText="1"/>
    </xf>
    <xf numFmtId="0" fontId="76" fillId="0" borderId="3" xfId="71" applyFont="1" applyBorder="1" applyAlignment="1">
      <alignment horizontal="center" vertical="center" wrapText="1"/>
    </xf>
    <xf numFmtId="0" fontId="76" fillId="0" borderId="8" xfId="71" applyFont="1" applyBorder="1" applyAlignment="1">
      <alignment horizontal="center" vertical="center" wrapText="1"/>
    </xf>
    <xf numFmtId="0" fontId="76" fillId="0" borderId="46" xfId="71" applyFont="1" applyBorder="1" applyAlignment="1">
      <alignment horizontal="center" vertical="center" wrapText="1"/>
    </xf>
    <xf numFmtId="0" fontId="76" fillId="0" borderId="11" xfId="71" applyFont="1" applyBorder="1" applyAlignment="1">
      <alignment horizontal="center" vertical="center" wrapText="1"/>
    </xf>
    <xf numFmtId="0" fontId="76" fillId="0" borderId="0" xfId="71" applyFont="1" applyAlignment="1">
      <alignment horizontal="center" vertical="center" wrapText="1"/>
    </xf>
    <xf numFmtId="0" fontId="76" fillId="0" borderId="48" xfId="71" applyFont="1" applyBorder="1" applyAlignment="1">
      <alignment horizontal="center" vertical="center" wrapText="1"/>
    </xf>
    <xf numFmtId="0" fontId="69" fillId="0" borderId="0" xfId="71" applyFont="1" applyAlignment="1">
      <alignment vertical="center" wrapText="1"/>
    </xf>
    <xf numFmtId="0" fontId="69" fillId="0" borderId="10" xfId="71" applyFont="1" applyBorder="1" applyAlignment="1">
      <alignment vertical="center" wrapText="1"/>
    </xf>
    <xf numFmtId="0" fontId="66" fillId="0" borderId="57" xfId="0" applyFont="1" applyBorder="1" applyAlignment="1">
      <alignment horizontal="center" vertical="center" wrapText="1"/>
    </xf>
    <xf numFmtId="0" fontId="66" fillId="0" borderId="59" xfId="0" applyFont="1" applyBorder="1" applyAlignment="1">
      <alignment horizontal="center" vertical="center" wrapText="1"/>
    </xf>
    <xf numFmtId="176" fontId="72" fillId="0" borderId="57" xfId="71" applyNumberFormat="1" applyFont="1" applyBorder="1" applyAlignment="1">
      <alignment horizontal="center" vertical="center"/>
    </xf>
    <xf numFmtId="0" fontId="72" fillId="0" borderId="59" xfId="71" applyFont="1" applyBorder="1" applyAlignment="1">
      <alignment horizontal="center" vertical="center"/>
    </xf>
    <xf numFmtId="176" fontId="72" fillId="0" borderId="60" xfId="71" applyNumberFormat="1" applyFont="1" applyBorder="1" applyAlignment="1">
      <alignment horizontal="center" vertical="center"/>
    </xf>
    <xf numFmtId="0" fontId="69" fillId="0" borderId="66" xfId="71" applyFont="1" applyBorder="1" applyAlignment="1">
      <alignment horizontal="left" vertical="center" wrapText="1"/>
    </xf>
    <xf numFmtId="0" fontId="69" fillId="0" borderId="67" xfId="71" applyFont="1" applyBorder="1" applyAlignment="1">
      <alignment horizontal="left" vertical="center" wrapText="1"/>
    </xf>
    <xf numFmtId="0" fontId="69" fillId="0" borderId="68" xfId="71" applyFont="1" applyBorder="1" applyAlignment="1">
      <alignment horizontal="left" vertical="center" wrapText="1"/>
    </xf>
    <xf numFmtId="0" fontId="69" fillId="0" borderId="51" xfId="71" applyFont="1" applyBorder="1" applyAlignment="1">
      <alignment horizontal="left" vertical="center" wrapText="1"/>
    </xf>
    <xf numFmtId="0" fontId="69" fillId="0" borderId="0" xfId="71" applyFont="1" applyAlignment="1">
      <alignment horizontal="left" vertical="center" wrapText="1"/>
    </xf>
    <xf numFmtId="0" fontId="69" fillId="0" borderId="10" xfId="71" applyFont="1" applyBorder="1" applyAlignment="1">
      <alignment horizontal="left" vertical="center" wrapText="1"/>
    </xf>
    <xf numFmtId="0" fontId="69" fillId="0" borderId="67" xfId="71" applyFont="1" applyBorder="1" applyAlignment="1">
      <alignment vertical="top" wrapText="1"/>
    </xf>
    <xf numFmtId="0" fontId="69" fillId="0" borderId="0" xfId="71" applyFont="1" applyAlignment="1">
      <alignment vertical="top" wrapText="1"/>
    </xf>
    <xf numFmtId="176" fontId="69" fillId="0" borderId="69" xfId="71" applyNumberFormat="1" applyFont="1" applyBorder="1" applyAlignment="1">
      <alignment horizontal="left" vertical="center"/>
    </xf>
    <xf numFmtId="176" fontId="69" fillId="0" borderId="43" xfId="71" applyNumberFormat="1" applyFont="1" applyBorder="1" applyAlignment="1">
      <alignment horizontal="left" vertical="center"/>
    </xf>
    <xf numFmtId="176" fontId="69" fillId="0" borderId="43" xfId="71" applyNumberFormat="1" applyFont="1" applyBorder="1" applyAlignment="1">
      <alignment horizontal="center" vertical="center"/>
    </xf>
    <xf numFmtId="176" fontId="69" fillId="0" borderId="44" xfId="71" applyNumberFormat="1" applyFont="1" applyBorder="1" applyAlignment="1">
      <alignment horizontal="center" vertical="center"/>
    </xf>
    <xf numFmtId="176" fontId="69" fillId="0" borderId="14" xfId="71" applyNumberFormat="1" applyFont="1" applyBorder="1" applyAlignment="1">
      <alignment horizontal="left" vertical="center"/>
    </xf>
    <xf numFmtId="176" fontId="69" fillId="0" borderId="9" xfId="71" applyNumberFormat="1" applyFont="1" applyBorder="1" applyAlignment="1">
      <alignment horizontal="left" vertical="center"/>
    </xf>
    <xf numFmtId="176" fontId="69" fillId="0" borderId="49" xfId="71" applyNumberFormat="1" applyFont="1" applyBorder="1" applyAlignment="1">
      <alignment horizontal="left" vertical="center"/>
    </xf>
    <xf numFmtId="0" fontId="31" fillId="3" borderId="1" xfId="0" applyFont="1" applyFill="1" applyBorder="1" applyAlignment="1">
      <alignment horizontal="center" vertical="center" wrapText="1"/>
    </xf>
    <xf numFmtId="176" fontId="74" fillId="3" borderId="4" xfId="0" applyNumberFormat="1" applyFont="1" applyFill="1" applyBorder="1" applyAlignment="1">
      <alignment horizontal="center" vertical="center"/>
    </xf>
    <xf numFmtId="176" fontId="74" fillId="3" borderId="50" xfId="0" applyNumberFormat="1" applyFont="1" applyFill="1" applyBorder="1" applyAlignment="1">
      <alignment horizontal="center" vertical="center"/>
    </xf>
    <xf numFmtId="0" fontId="33" fillId="0" borderId="4" xfId="0" applyFont="1" applyBorder="1" applyAlignment="1">
      <alignment horizontal="left" vertical="center" wrapText="1"/>
    </xf>
    <xf numFmtId="0" fontId="33" fillId="0" borderId="56" xfId="0" applyFont="1" applyBorder="1" applyAlignment="1">
      <alignment horizontal="left" vertical="center" wrapText="1"/>
    </xf>
    <xf numFmtId="4" fontId="42" fillId="0" borderId="5" xfId="0" applyNumberFormat="1" applyFont="1" applyBorder="1" applyAlignment="1">
      <alignment horizontal="center" vertical="center" wrapText="1"/>
    </xf>
    <xf numFmtId="4" fontId="42" fillId="0" borderId="1" xfId="0" applyNumberFormat="1" applyFont="1" applyBorder="1" applyAlignment="1">
      <alignment horizontal="center" vertical="center" wrapText="1"/>
    </xf>
    <xf numFmtId="4" fontId="42" fillId="0" borderId="6" xfId="0" applyNumberFormat="1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66" fillId="0" borderId="6" xfId="0" applyFont="1" applyBorder="1" applyAlignment="1">
      <alignment horizontal="center" vertical="center" wrapText="1"/>
    </xf>
    <xf numFmtId="176" fontId="72" fillId="0" borderId="5" xfId="71" applyNumberFormat="1" applyFont="1" applyBorder="1" applyAlignment="1">
      <alignment horizontal="center" vertical="center"/>
    </xf>
    <xf numFmtId="0" fontId="72" fillId="0" borderId="6" xfId="71" applyFont="1" applyBorder="1" applyAlignment="1">
      <alignment horizontal="center" vertical="center"/>
    </xf>
    <xf numFmtId="176" fontId="72" fillId="0" borderId="52" xfId="71" applyNumberFormat="1" applyFont="1" applyBorder="1" applyAlignment="1">
      <alignment horizontal="center" vertical="center"/>
    </xf>
    <xf numFmtId="4" fontId="42" fillId="0" borderId="57" xfId="0" applyNumberFormat="1" applyFont="1" applyBorder="1" applyAlignment="1">
      <alignment horizontal="center" vertical="center" wrapText="1"/>
    </xf>
    <xf numFmtId="4" fontId="42" fillId="0" borderId="58" xfId="0" applyNumberFormat="1" applyFont="1" applyBorder="1" applyAlignment="1">
      <alignment horizontal="center" vertical="center" wrapText="1"/>
    </xf>
    <xf numFmtId="4" fontId="42" fillId="0" borderId="59" xfId="0" applyNumberFormat="1" applyFont="1" applyBorder="1" applyAlignment="1">
      <alignment horizontal="center" vertical="center" wrapText="1"/>
    </xf>
    <xf numFmtId="176" fontId="74" fillId="3" borderId="12" xfId="0" applyNumberFormat="1" applyFont="1" applyFill="1" applyBorder="1" applyAlignment="1">
      <alignment horizontal="center" vertical="center"/>
    </xf>
    <xf numFmtId="176" fontId="74" fillId="3" borderId="70" xfId="0" applyNumberFormat="1" applyFont="1" applyFill="1" applyBorder="1" applyAlignment="1">
      <alignment horizontal="center" vertical="center"/>
    </xf>
    <xf numFmtId="0" fontId="31" fillId="3" borderId="9" xfId="0" applyFont="1" applyFill="1" applyBorder="1" applyAlignment="1">
      <alignment horizontal="center" vertical="center" wrapText="1"/>
    </xf>
    <xf numFmtId="176" fontId="72" fillId="0" borderId="6" xfId="71" applyNumberFormat="1" applyFont="1" applyBorder="1" applyAlignment="1">
      <alignment horizontal="center" vertical="center"/>
    </xf>
    <xf numFmtId="4" fontId="42" fillId="0" borderId="4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44" fontId="69" fillId="20" borderId="4" xfId="71" applyNumberFormat="1" applyFont="1" applyFill="1" applyBorder="1" applyAlignment="1">
      <alignment horizontal="center" vertical="center" wrapText="1"/>
    </xf>
    <xf numFmtId="0" fontId="69" fillId="20" borderId="4" xfId="71" applyFont="1" applyFill="1" applyBorder="1" applyAlignment="1">
      <alignment horizontal="center" wrapText="1"/>
    </xf>
    <xf numFmtId="0" fontId="69" fillId="20" borderId="14" xfId="71" applyFont="1" applyFill="1" applyBorder="1" applyAlignment="1">
      <alignment horizontal="center" vertical="center" wrapText="1"/>
    </xf>
    <xf numFmtId="0" fontId="69" fillId="20" borderId="9" xfId="71" applyFont="1" applyFill="1" applyBorder="1" applyAlignment="1">
      <alignment horizontal="center" vertical="center" wrapText="1"/>
    </xf>
    <xf numFmtId="0" fontId="69" fillId="20" borderId="15" xfId="71" applyFont="1" applyFill="1" applyBorder="1" applyAlignment="1">
      <alignment horizontal="center" vertical="center" wrapText="1"/>
    </xf>
    <xf numFmtId="0" fontId="69" fillId="20" borderId="4" xfId="71" applyFont="1" applyFill="1" applyBorder="1" applyAlignment="1">
      <alignment horizontal="center" vertical="center" wrapText="1"/>
    </xf>
    <xf numFmtId="0" fontId="68" fillId="0" borderId="4" xfId="71" applyFont="1" applyBorder="1" applyAlignment="1">
      <alignment horizontal="center" vertical="center" wrapText="1"/>
    </xf>
    <xf numFmtId="0" fontId="68" fillId="0" borderId="50" xfId="71" applyFont="1" applyBorder="1" applyAlignment="1">
      <alignment horizontal="center" vertical="center" wrapText="1"/>
    </xf>
    <xf numFmtId="176" fontId="71" fillId="0" borderId="11" xfId="71" applyNumberFormat="1" applyFont="1" applyBorder="1" applyAlignment="1">
      <alignment horizontal="center" vertical="center" wrapText="1"/>
    </xf>
    <xf numFmtId="176" fontId="71" fillId="0" borderId="10" xfId="71" applyNumberFormat="1" applyFont="1" applyBorder="1" applyAlignment="1">
      <alignment horizontal="center" vertical="center" wrapText="1"/>
    </xf>
    <xf numFmtId="176" fontId="68" fillId="0" borderId="5" xfId="71" applyNumberFormat="1" applyFont="1" applyBorder="1" applyAlignment="1">
      <alignment horizontal="center" vertical="center" wrapText="1"/>
    </xf>
    <xf numFmtId="176" fontId="68" fillId="0" borderId="6" xfId="71" applyNumberFormat="1" applyFont="1" applyBorder="1" applyAlignment="1">
      <alignment horizontal="center" vertical="center" wrapText="1"/>
    </xf>
    <xf numFmtId="176" fontId="72" fillId="0" borderId="11" xfId="71" applyNumberFormat="1" applyFont="1" applyBorder="1" applyAlignment="1">
      <alignment horizontal="center" vertical="center" wrapText="1"/>
    </xf>
    <xf numFmtId="176" fontId="72" fillId="0" borderId="10" xfId="71" applyNumberFormat="1" applyFont="1" applyBorder="1" applyAlignment="1">
      <alignment horizontal="center" vertical="center" wrapText="1"/>
    </xf>
    <xf numFmtId="176" fontId="72" fillId="0" borderId="5" xfId="71" applyNumberFormat="1" applyFont="1" applyBorder="1" applyAlignment="1">
      <alignment horizontal="center" vertical="center" wrapText="1"/>
    </xf>
    <xf numFmtId="176" fontId="72" fillId="0" borderId="52" xfId="71" applyNumberFormat="1" applyFont="1" applyBorder="1" applyAlignment="1">
      <alignment horizontal="center" vertical="center" wrapText="1"/>
    </xf>
    <xf numFmtId="0" fontId="69" fillId="20" borderId="3" xfId="71" applyFont="1" applyFill="1" applyBorder="1" applyAlignment="1">
      <alignment horizontal="center" vertical="center" wrapText="1"/>
    </xf>
    <xf numFmtId="0" fontId="69" fillId="20" borderId="8" xfId="71" applyFont="1" applyFill="1" applyBorder="1" applyAlignment="1">
      <alignment horizontal="center" vertical="center" wrapText="1"/>
    </xf>
    <xf numFmtId="0" fontId="69" fillId="20" borderId="2" xfId="71" applyFont="1" applyFill="1" applyBorder="1" applyAlignment="1">
      <alignment horizontal="center" vertical="center" wrapText="1"/>
    </xf>
    <xf numFmtId="0" fontId="71" fillId="0" borderId="45" xfId="71" applyFont="1" applyBorder="1" applyAlignment="1">
      <alignment horizontal="left" vertical="center" wrapText="1"/>
    </xf>
    <xf numFmtId="0" fontId="71" fillId="0" borderId="8" xfId="71" applyFont="1" applyBorder="1" applyAlignment="1">
      <alignment horizontal="left" vertical="center" wrapText="1"/>
    </xf>
    <xf numFmtId="0" fontId="71" fillId="0" borderId="51" xfId="71" applyFont="1" applyBorder="1" applyAlignment="1">
      <alignment horizontal="left" vertical="center" wrapText="1"/>
    </xf>
    <xf numFmtId="0" fontId="71" fillId="0" borderId="0" xfId="71" applyFont="1" applyAlignment="1">
      <alignment horizontal="left" vertical="center" wrapText="1"/>
    </xf>
    <xf numFmtId="0" fontId="71" fillId="0" borderId="4" xfId="71" applyFont="1" applyBorder="1" applyAlignment="1">
      <alignment horizontal="center" vertical="center" wrapText="1"/>
    </xf>
    <xf numFmtId="0" fontId="71" fillId="0" borderId="13" xfId="71" applyFont="1" applyBorder="1" applyAlignment="1">
      <alignment horizontal="center" vertical="center" wrapText="1"/>
    </xf>
    <xf numFmtId="0" fontId="71" fillId="0" borderId="3" xfId="71" applyFont="1" applyBorder="1" applyAlignment="1">
      <alignment horizontal="center" vertical="center" wrapText="1"/>
    </xf>
    <xf numFmtId="0" fontId="71" fillId="0" borderId="2" xfId="71" applyFont="1" applyBorder="1" applyAlignment="1">
      <alignment horizontal="center" vertical="center" wrapText="1"/>
    </xf>
    <xf numFmtId="0" fontId="71" fillId="0" borderId="11" xfId="71" applyFont="1" applyBorder="1" applyAlignment="1">
      <alignment horizontal="center" vertical="center" wrapText="1"/>
    </xf>
    <xf numFmtId="0" fontId="71" fillId="0" borderId="10" xfId="71" applyFont="1" applyBorder="1" applyAlignment="1">
      <alignment horizontal="center" vertical="center" wrapText="1"/>
    </xf>
    <xf numFmtId="49" fontId="72" fillId="0" borderId="11" xfId="71" applyNumberFormat="1" applyFont="1" applyBorder="1" applyAlignment="1">
      <alignment horizontal="center" vertical="center" wrapText="1"/>
    </xf>
    <xf numFmtId="49" fontId="72" fillId="0" borderId="48" xfId="71" applyNumberFormat="1" applyFont="1" applyBorder="1" applyAlignment="1">
      <alignment horizontal="center" vertical="center" wrapText="1"/>
    </xf>
    <xf numFmtId="49" fontId="72" fillId="0" borderId="14" xfId="71" applyNumberFormat="1" applyFont="1" applyBorder="1" applyAlignment="1">
      <alignment horizontal="center" vertical="center" wrapText="1"/>
    </xf>
    <xf numFmtId="49" fontId="72" fillId="0" borderId="49" xfId="71" applyNumberFormat="1" applyFont="1" applyBorder="1" applyAlignment="1">
      <alignment horizontal="center" vertical="center" wrapText="1"/>
    </xf>
    <xf numFmtId="0" fontId="72" fillId="0" borderId="45" xfId="71" applyFont="1" applyBorder="1" applyAlignment="1">
      <alignment horizontal="left" vertical="center"/>
    </xf>
    <xf numFmtId="0" fontId="72" fillId="0" borderId="8" xfId="71" applyFont="1" applyBorder="1" applyAlignment="1">
      <alignment horizontal="left" vertical="center"/>
    </xf>
    <xf numFmtId="0" fontId="72" fillId="0" borderId="2" xfId="71" applyFont="1" applyBorder="1" applyAlignment="1">
      <alignment horizontal="left" vertical="center"/>
    </xf>
    <xf numFmtId="0" fontId="72" fillId="0" borderId="3" xfId="71" applyFont="1" applyBorder="1" applyAlignment="1">
      <alignment horizontal="center" vertical="center"/>
    </xf>
    <xf numFmtId="0" fontId="72" fillId="0" borderId="2" xfId="71" applyFont="1" applyBorder="1" applyAlignment="1">
      <alignment horizontal="center" vertical="center"/>
    </xf>
    <xf numFmtId="0" fontId="72" fillId="0" borderId="14" xfId="71" applyFont="1" applyBorder="1" applyAlignment="1">
      <alignment horizontal="center" vertical="center"/>
    </xf>
    <xf numFmtId="0" fontId="72" fillId="0" borderId="15" xfId="71" applyFont="1" applyBorder="1" applyAlignment="1">
      <alignment horizontal="center" vertical="center"/>
    </xf>
    <xf numFmtId="0" fontId="71" fillId="0" borderId="5" xfId="71" applyFont="1" applyBorder="1" applyAlignment="1">
      <alignment horizontal="left" vertical="center" wrapText="1"/>
    </xf>
    <xf numFmtId="0" fontId="71" fillId="0" borderId="1" xfId="71" applyFont="1" applyBorder="1" applyAlignment="1">
      <alignment horizontal="left" vertical="center" wrapText="1"/>
    </xf>
    <xf numFmtId="0" fontId="71" fillId="0" borderId="6" xfId="71" applyFont="1" applyBorder="1" applyAlignment="1">
      <alignment horizontal="left" vertical="center" wrapText="1"/>
    </xf>
    <xf numFmtId="0" fontId="72" fillId="0" borderId="47" xfId="71" applyFont="1" applyBorder="1" applyAlignment="1">
      <alignment horizontal="left" vertical="center"/>
    </xf>
    <xf numFmtId="0" fontId="72" fillId="0" borderId="9" xfId="71" applyFont="1" applyBorder="1" applyAlignment="1">
      <alignment horizontal="left" vertical="center"/>
    </xf>
    <xf numFmtId="0" fontId="72" fillId="0" borderId="15" xfId="71" applyFont="1" applyBorder="1" applyAlignment="1">
      <alignment horizontal="left" vertical="center"/>
    </xf>
    <xf numFmtId="0" fontId="71" fillId="0" borderId="4" xfId="71" applyFont="1" applyBorder="1" applyAlignment="1">
      <alignment vertical="center" wrapText="1"/>
    </xf>
    <xf numFmtId="0" fontId="71" fillId="0" borderId="50" xfId="71" applyFont="1" applyBorder="1" applyAlignment="1">
      <alignment vertical="center" wrapText="1"/>
    </xf>
    <xf numFmtId="0" fontId="67" fillId="20" borderId="42" xfId="71" applyFont="1" applyFill="1" applyBorder="1" applyAlignment="1">
      <alignment horizontal="center" vertical="top" wrapText="1"/>
    </xf>
    <xf numFmtId="0" fontId="67" fillId="20" borderId="43" xfId="71" applyFont="1" applyFill="1" applyBorder="1" applyAlignment="1">
      <alignment horizontal="center" vertical="top" wrapText="1"/>
    </xf>
    <xf numFmtId="0" fontId="67" fillId="20" borderId="44" xfId="71" applyFont="1" applyFill="1" applyBorder="1" applyAlignment="1">
      <alignment horizontal="center" vertical="top" wrapText="1"/>
    </xf>
    <xf numFmtId="0" fontId="68" fillId="0" borderId="45" xfId="71" applyFont="1" applyBorder="1" applyAlignment="1">
      <alignment horizontal="left" vertical="center" wrapText="1"/>
    </xf>
    <xf numFmtId="0" fontId="68" fillId="0" borderId="8" xfId="71" applyFont="1" applyBorder="1" applyAlignment="1">
      <alignment horizontal="left" vertical="center" wrapText="1"/>
    </xf>
    <xf numFmtId="0" fontId="68" fillId="0" borderId="47" xfId="71" applyFont="1" applyBorder="1" applyAlignment="1">
      <alignment horizontal="left" vertical="center" wrapText="1"/>
    </xf>
    <xf numFmtId="0" fontId="68" fillId="0" borderId="9" xfId="71" applyFont="1" applyBorder="1" applyAlignment="1">
      <alignment horizontal="left" vertical="center" wrapText="1"/>
    </xf>
    <xf numFmtId="0" fontId="73" fillId="0" borderId="3" xfId="71" applyFont="1" applyBorder="1" applyAlignment="1">
      <alignment horizontal="center" vertical="center" wrapText="1"/>
    </xf>
    <xf numFmtId="0" fontId="73" fillId="0" borderId="8" xfId="71" applyFont="1" applyBorder="1" applyAlignment="1">
      <alignment horizontal="center" vertical="center" wrapText="1"/>
    </xf>
    <xf numFmtId="0" fontId="73" fillId="0" borderId="2" xfId="71" applyFont="1" applyBorder="1" applyAlignment="1">
      <alignment horizontal="center" vertical="center" wrapText="1"/>
    </xf>
    <xf numFmtId="0" fontId="70" fillId="0" borderId="3" xfId="71" applyFont="1" applyBorder="1" applyAlignment="1">
      <alignment horizontal="center" vertical="center" wrapText="1"/>
    </xf>
    <xf numFmtId="0" fontId="70" fillId="0" borderId="2" xfId="71" applyFont="1" applyBorder="1" applyAlignment="1">
      <alignment horizontal="center" vertical="center" wrapText="1"/>
    </xf>
    <xf numFmtId="0" fontId="70" fillId="0" borderId="8" xfId="71" applyFont="1" applyBorder="1" applyAlignment="1">
      <alignment vertical="center" wrapText="1"/>
    </xf>
    <xf numFmtId="49" fontId="71" fillId="0" borderId="14" xfId="71" applyNumberFormat="1" applyFont="1" applyBorder="1" applyAlignment="1">
      <alignment horizontal="center" vertical="center" wrapText="1"/>
    </xf>
    <xf numFmtId="49" fontId="71" fillId="0" borderId="9" xfId="71" applyNumberFormat="1" applyFont="1" applyBorder="1" applyAlignment="1">
      <alignment horizontal="center" vertical="center" wrapText="1"/>
    </xf>
    <xf numFmtId="49" fontId="71" fillId="0" borderId="15" xfId="71" applyNumberFormat="1" applyFont="1" applyBorder="1" applyAlignment="1">
      <alignment horizontal="center" vertical="center" wrapText="1"/>
    </xf>
    <xf numFmtId="49" fontId="72" fillId="0" borderId="15" xfId="71" applyNumberFormat="1" applyFont="1" applyBorder="1" applyAlignment="1">
      <alignment horizontal="center" vertical="center" wrapText="1"/>
    </xf>
    <xf numFmtId="49" fontId="72" fillId="0" borderId="0" xfId="71" applyNumberFormat="1" applyFont="1" applyAlignment="1">
      <alignment horizontal="center" vertical="center" wrapText="1"/>
    </xf>
    <xf numFmtId="4" fontId="29" fillId="16" borderId="63" xfId="3" applyNumberFormat="1" applyFont="1" applyFill="1" applyBorder="1" applyAlignment="1" applyProtection="1">
      <alignment horizontal="center" vertical="center" wrapText="1"/>
      <protection locked="0"/>
    </xf>
    <xf numFmtId="4" fontId="29" fillId="16" borderId="64" xfId="3" applyNumberFormat="1" applyFont="1" applyFill="1" applyBorder="1" applyAlignment="1" applyProtection="1">
      <alignment horizontal="center" vertical="center" wrapText="1"/>
      <protection locked="0"/>
    </xf>
    <xf numFmtId="0" fontId="29" fillId="4" borderId="0" xfId="3" applyFont="1" applyFill="1" applyAlignment="1" applyProtection="1">
      <alignment horizontal="left" vertical="center"/>
      <protection locked="0"/>
    </xf>
    <xf numFmtId="0" fontId="29" fillId="4" borderId="48" xfId="3" applyFont="1" applyFill="1" applyBorder="1" applyAlignment="1" applyProtection="1">
      <alignment horizontal="left" vertical="center"/>
      <protection locked="0"/>
    </xf>
    <xf numFmtId="0" fontId="29" fillId="5" borderId="0" xfId="3" applyFont="1" applyFill="1" applyAlignment="1" applyProtection="1">
      <alignment horizontal="left" vertical="center"/>
      <protection locked="0"/>
    </xf>
    <xf numFmtId="0" fontId="29" fillId="5" borderId="48" xfId="3" applyFont="1" applyFill="1" applyBorder="1" applyAlignment="1" applyProtection="1">
      <alignment horizontal="left" vertical="center"/>
      <protection locked="0"/>
    </xf>
    <xf numFmtId="0" fontId="28" fillId="4" borderId="0" xfId="3" applyFont="1" applyFill="1" applyAlignment="1" applyProtection="1">
      <alignment horizontal="left" vertical="center" wrapText="1"/>
      <protection locked="0"/>
    </xf>
    <xf numFmtId="0" fontId="28" fillId="4" borderId="48" xfId="3" applyFont="1" applyFill="1" applyBorder="1" applyAlignment="1" applyProtection="1">
      <alignment horizontal="left" vertical="center" wrapText="1"/>
      <protection locked="0"/>
    </xf>
    <xf numFmtId="0" fontId="29" fillId="4" borderId="0" xfId="3" applyFont="1" applyFill="1" applyAlignment="1" applyProtection="1">
      <alignment horizontal="left" vertical="center" wrapText="1"/>
      <protection locked="0"/>
    </xf>
    <xf numFmtId="0" fontId="29" fillId="4" borderId="48" xfId="3" applyFont="1" applyFill="1" applyBorder="1" applyAlignment="1" applyProtection="1">
      <alignment horizontal="left" vertical="center" wrapText="1"/>
      <protection locked="0"/>
    </xf>
    <xf numFmtId="0" fontId="31" fillId="21" borderId="53" xfId="0" applyFont="1" applyFill="1" applyBorder="1" applyAlignment="1">
      <alignment horizontal="center" vertical="center" wrapText="1"/>
    </xf>
    <xf numFmtId="0" fontId="31" fillId="21" borderId="1" xfId="0" applyFont="1" applyFill="1" applyBorder="1" applyAlignment="1">
      <alignment horizontal="center" vertical="center" wrapText="1"/>
    </xf>
    <xf numFmtId="0" fontId="31" fillId="21" borderId="52" xfId="0" applyFont="1" applyFill="1" applyBorder="1" applyAlignment="1">
      <alignment horizontal="center" vertical="center" wrapText="1"/>
    </xf>
    <xf numFmtId="0" fontId="55" fillId="4" borderId="71" xfId="3" applyFont="1" applyFill="1" applyBorder="1" applyAlignment="1" applyProtection="1">
      <alignment horizontal="center" vertical="center" wrapText="1"/>
      <protection locked="0"/>
    </xf>
    <xf numFmtId="0" fontId="49" fillId="4" borderId="72" xfId="3" applyFont="1" applyFill="1" applyBorder="1" applyAlignment="1" applyProtection="1">
      <alignment horizontal="center" vertical="center" wrapText="1"/>
      <protection locked="0"/>
    </xf>
    <xf numFmtId="0" fontId="49" fillId="4" borderId="73" xfId="3" applyFont="1" applyFill="1" applyBorder="1" applyAlignment="1" applyProtection="1">
      <alignment horizontal="center" vertical="center" wrapText="1"/>
      <protection locked="0"/>
    </xf>
    <xf numFmtId="0" fontId="28" fillId="0" borderId="0" xfId="3" applyFont="1" applyAlignment="1" applyProtection="1">
      <alignment horizontal="left" vertical="center" wrapText="1"/>
      <protection locked="0"/>
    </xf>
    <xf numFmtId="0" fontId="28" fillId="0" borderId="51" xfId="3" applyFont="1" applyBorder="1" applyAlignment="1" applyProtection="1">
      <alignment horizontal="left" vertical="center" wrapText="1"/>
      <protection locked="0"/>
    </xf>
    <xf numFmtId="0" fontId="28" fillId="0" borderId="8" xfId="3" applyFont="1" applyBorder="1" applyAlignment="1" applyProtection="1">
      <alignment vertical="center" wrapText="1"/>
      <protection locked="0"/>
    </xf>
    <xf numFmtId="0" fontId="40" fillId="13" borderId="4" xfId="3" applyFont="1" applyFill="1" applyBorder="1" applyAlignment="1">
      <alignment horizontal="center" vertical="center" wrapText="1"/>
    </xf>
    <xf numFmtId="0" fontId="40" fillId="13" borderId="4" xfId="3" applyFont="1" applyFill="1" applyBorder="1" applyAlignment="1">
      <alignment vertical="center" wrapText="1"/>
    </xf>
    <xf numFmtId="0" fontId="41" fillId="13" borderId="11" xfId="3" applyFont="1" applyFill="1" applyBorder="1" applyAlignment="1">
      <alignment horizontal="center"/>
    </xf>
    <xf numFmtId="0" fontId="41" fillId="13" borderId="0" xfId="3" applyFont="1" applyFill="1" applyAlignment="1">
      <alignment horizontal="center"/>
    </xf>
    <xf numFmtId="0" fontId="41" fillId="13" borderId="10" xfId="3" applyFont="1" applyFill="1" applyBorder="1" applyAlignment="1">
      <alignment horizontal="center"/>
    </xf>
    <xf numFmtId="0" fontId="41" fillId="13" borderId="14" xfId="3" applyFont="1" applyFill="1" applyBorder="1" applyAlignment="1">
      <alignment horizontal="center"/>
    </xf>
    <xf numFmtId="0" fontId="41" fillId="13" borderId="9" xfId="3" applyFont="1" applyFill="1" applyBorder="1" applyAlignment="1">
      <alignment horizontal="center"/>
    </xf>
    <xf numFmtId="0" fontId="41" fillId="13" borderId="15" xfId="3" applyFont="1" applyFill="1" applyBorder="1" applyAlignment="1">
      <alignment horizontal="center"/>
    </xf>
    <xf numFmtId="0" fontId="28" fillId="13" borderId="12" xfId="3" applyFont="1" applyFill="1" applyBorder="1" applyAlignment="1">
      <alignment horizontal="left" vertical="center"/>
    </xf>
    <xf numFmtId="0" fontId="28" fillId="13" borderId="5" xfId="3" applyFont="1" applyFill="1" applyBorder="1" applyAlignment="1">
      <alignment horizontal="center" vertical="center" wrapText="1"/>
    </xf>
    <xf numFmtId="0" fontId="28" fillId="13" borderId="1" xfId="3" applyFont="1" applyFill="1" applyBorder="1" applyAlignment="1">
      <alignment horizontal="center" vertical="center" wrapText="1"/>
    </xf>
    <xf numFmtId="0" fontId="40" fillId="22" borderId="5" xfId="3" applyFont="1" applyFill="1" applyBorder="1" applyAlignment="1">
      <alignment horizontal="center" vertical="center" wrapText="1"/>
    </xf>
    <xf numFmtId="0" fontId="40" fillId="22" borderId="1" xfId="3" applyFont="1" applyFill="1" applyBorder="1" applyAlignment="1">
      <alignment horizontal="center" vertical="center" wrapText="1"/>
    </xf>
    <xf numFmtId="0" fontId="40" fillId="22" borderId="6" xfId="3" applyFont="1" applyFill="1" applyBorder="1" applyAlignment="1">
      <alignment horizontal="center" vertical="center" wrapText="1"/>
    </xf>
    <xf numFmtId="0" fontId="40" fillId="0" borderId="11" xfId="3" applyFont="1" applyBorder="1" applyAlignment="1">
      <alignment horizontal="left" vertical="center"/>
    </xf>
    <xf numFmtId="0" fontId="40" fillId="0" borderId="0" xfId="3" applyFont="1" applyAlignment="1">
      <alignment horizontal="left" vertical="center"/>
    </xf>
    <xf numFmtId="0" fontId="40" fillId="0" borderId="10" xfId="3" applyFont="1" applyBorder="1" applyAlignment="1">
      <alignment horizontal="left" vertical="center"/>
    </xf>
    <xf numFmtId="0" fontId="46" fillId="13" borderId="5" xfId="3" applyFont="1" applyFill="1" applyBorder="1" applyAlignment="1">
      <alignment horizontal="center"/>
    </xf>
    <xf numFmtId="0" fontId="46" fillId="13" borderId="1" xfId="3" applyFont="1" applyFill="1" applyBorder="1" applyAlignment="1">
      <alignment horizontal="center"/>
    </xf>
    <xf numFmtId="0" fontId="46" fillId="13" borderId="6" xfId="3" applyFont="1" applyFill="1" applyBorder="1" applyAlignment="1">
      <alignment horizontal="center"/>
    </xf>
    <xf numFmtId="0" fontId="29" fillId="13" borderId="5" xfId="3" applyFont="1" applyFill="1" applyBorder="1" applyAlignment="1">
      <alignment horizontal="center" vertical="center" wrapText="1"/>
    </xf>
    <xf numFmtId="0" fontId="29" fillId="13" borderId="1" xfId="3" applyFont="1" applyFill="1" applyBorder="1" applyAlignment="1">
      <alignment horizontal="center" vertical="center" wrapText="1"/>
    </xf>
    <xf numFmtId="0" fontId="29" fillId="13" borderId="6" xfId="3" applyFont="1" applyFill="1" applyBorder="1" applyAlignment="1">
      <alignment horizontal="center" vertical="center" wrapText="1"/>
    </xf>
    <xf numFmtId="0" fontId="29" fillId="13" borderId="12" xfId="3" applyFont="1" applyFill="1" applyBorder="1" applyAlignment="1">
      <alignment horizontal="left" vertical="center"/>
    </xf>
    <xf numFmtId="14" fontId="28" fillId="13" borderId="1" xfId="3" applyNumberFormat="1" applyFont="1" applyFill="1" applyBorder="1" applyAlignment="1">
      <alignment horizontal="center" vertical="center"/>
    </xf>
    <xf numFmtId="14" fontId="28" fillId="13" borderId="6" xfId="3" applyNumberFormat="1" applyFont="1" applyFill="1" applyBorder="1" applyAlignment="1">
      <alignment horizontal="center" vertical="center"/>
    </xf>
    <xf numFmtId="0" fontId="44" fillId="13" borderId="5" xfId="3" applyFont="1" applyFill="1" applyBorder="1" applyAlignment="1">
      <alignment horizontal="center" vertical="center"/>
    </xf>
    <xf numFmtId="0" fontId="44" fillId="13" borderId="1" xfId="3" applyFont="1" applyFill="1" applyBorder="1" applyAlignment="1">
      <alignment horizontal="center" vertical="center"/>
    </xf>
    <xf numFmtId="0" fontId="44" fillId="13" borderId="6" xfId="3" applyFont="1" applyFill="1" applyBorder="1" applyAlignment="1">
      <alignment horizontal="center" vertical="center"/>
    </xf>
    <xf numFmtId="0" fontId="74" fillId="0" borderId="74" xfId="73" applyFont="1" applyBorder="1" applyAlignment="1">
      <alignment horizontal="left" vertical="top"/>
    </xf>
    <xf numFmtId="0" fontId="72" fillId="0" borderId="75" xfId="74" applyNumberFormat="1" applyFont="1" applyFill="1" applyBorder="1" applyAlignment="1" applyProtection="1">
      <alignment horizontal="left" wrapText="1"/>
    </xf>
    <xf numFmtId="0" fontId="72" fillId="0" borderId="76" xfId="72" applyFont="1" applyBorder="1" applyAlignment="1">
      <alignment horizontal="left" wrapText="1"/>
    </xf>
    <xf numFmtId="10" fontId="72" fillId="11" borderId="76" xfId="72" applyNumberFormat="1" applyFont="1" applyFill="1" applyBorder="1" applyAlignment="1" applyProtection="1">
      <alignment horizontal="center"/>
      <protection locked="0"/>
    </xf>
    <xf numFmtId="0" fontId="72" fillId="0" borderId="76" xfId="72" applyFont="1" applyBorder="1" applyAlignment="1">
      <alignment horizontal="left"/>
    </xf>
    <xf numFmtId="0" fontId="3" fillId="0" borderId="74" xfId="67" applyBorder="1" applyAlignment="1">
      <alignment horizontal="center"/>
    </xf>
    <xf numFmtId="0" fontId="74" fillId="0" borderId="75" xfId="67" applyFont="1" applyBorder="1" applyAlignment="1">
      <alignment horizontal="center"/>
    </xf>
    <xf numFmtId="0" fontId="0" fillId="0" borderId="75" xfId="72" applyFont="1" applyBorder="1" applyAlignment="1">
      <alignment horizontal="left" vertical="top" wrapText="1"/>
    </xf>
    <xf numFmtId="0" fontId="3" fillId="0" borderId="3" xfId="67" applyBorder="1" applyAlignment="1">
      <alignment horizontal="center"/>
    </xf>
    <xf numFmtId="0" fontId="3" fillId="0" borderId="8" xfId="67" applyBorder="1" applyAlignment="1">
      <alignment horizontal="center"/>
    </xf>
    <xf numFmtId="0" fontId="3" fillId="0" borderId="76" xfId="72" applyBorder="1" applyAlignment="1">
      <alignment horizontal="center" vertical="center" wrapText="1"/>
    </xf>
    <xf numFmtId="0" fontId="0" fillId="0" borderId="76" xfId="72" applyFont="1" applyBorder="1" applyAlignment="1">
      <alignment horizontal="center" vertical="center" wrapText="1"/>
    </xf>
    <xf numFmtId="0" fontId="3" fillId="0" borderId="11" xfId="67" applyBorder="1" applyAlignment="1">
      <alignment horizontal="center"/>
    </xf>
    <xf numFmtId="0" fontId="3" fillId="0" borderId="0" xfId="67" applyAlignment="1">
      <alignment horizontal="center"/>
    </xf>
    <xf numFmtId="0" fontId="3" fillId="0" borderId="77" xfId="67" applyBorder="1" applyAlignment="1">
      <alignment horizontal="center"/>
    </xf>
    <xf numFmtId="0" fontId="77" fillId="0" borderId="76" xfId="72" applyFont="1" applyBorder="1" applyAlignment="1">
      <alignment horizontal="center"/>
    </xf>
    <xf numFmtId="179" fontId="72" fillId="23" borderId="75" xfId="74" applyFont="1" applyFill="1" applyBorder="1" applyAlignment="1" applyProtection="1">
      <alignment horizontal="left"/>
      <protection locked="0"/>
    </xf>
    <xf numFmtId="0" fontId="79" fillId="0" borderId="76" xfId="72" applyFont="1" applyBorder="1" applyAlignment="1">
      <alignment horizontal="center" vertical="center"/>
    </xf>
    <xf numFmtId="4" fontId="79" fillId="0" borderId="76" xfId="72" applyNumberFormat="1" applyFont="1" applyBorder="1" applyAlignment="1">
      <alignment horizontal="center" vertical="center" wrapText="1"/>
    </xf>
    <xf numFmtId="0" fontId="72" fillId="0" borderId="76" xfId="72" applyFont="1" applyBorder="1" applyAlignment="1">
      <alignment horizontal="left" vertical="center" wrapText="1"/>
    </xf>
    <xf numFmtId="49" fontId="0" fillId="11" borderId="76" xfId="72" applyNumberFormat="1" applyFont="1" applyFill="1" applyBorder="1" applyAlignment="1" applyProtection="1">
      <alignment horizontal="left" vertical="top" wrapText="1"/>
      <protection locked="0"/>
    </xf>
    <xf numFmtId="180" fontId="3" fillId="0" borderId="78" xfId="72" applyNumberFormat="1" applyBorder="1" applyAlignment="1">
      <alignment horizontal="left"/>
    </xf>
    <xf numFmtId="180" fontId="0" fillId="0" borderId="78" xfId="72" applyNumberFormat="1" applyFont="1" applyBorder="1" applyAlignment="1">
      <alignment horizontal="left"/>
    </xf>
    <xf numFmtId="181" fontId="3" fillId="0" borderId="78" xfId="72" applyNumberFormat="1" applyBorder="1" applyAlignment="1">
      <alignment horizontal="center"/>
    </xf>
    <xf numFmtId="0" fontId="74" fillId="0" borderId="0" xfId="72" applyFont="1" applyAlignment="1">
      <alignment horizontal="left" vertical="center"/>
    </xf>
    <xf numFmtId="0" fontId="80" fillId="24" borderId="76" xfId="72" applyFont="1" applyFill="1" applyBorder="1" applyAlignment="1">
      <alignment horizontal="center" vertical="center" wrapText="1"/>
    </xf>
    <xf numFmtId="0" fontId="82" fillId="0" borderId="0" xfId="72" applyFont="1" applyAlignment="1">
      <alignment horizontal="left" vertical="center" indent="1"/>
    </xf>
    <xf numFmtId="0" fontId="0" fillId="0" borderId="0" xfId="72" applyFont="1" applyAlignment="1">
      <alignment horizontal="center" vertical="center"/>
    </xf>
    <xf numFmtId="0" fontId="83" fillId="0" borderId="0" xfId="67" applyFont="1" applyAlignment="1">
      <alignment horizontal="right" vertical="center"/>
    </xf>
    <xf numFmtId="10" fontId="84" fillId="0" borderId="0" xfId="67" applyNumberFormat="1" applyFont="1" applyAlignment="1">
      <alignment horizontal="center"/>
    </xf>
    <xf numFmtId="0" fontId="84" fillId="0" borderId="0" xfId="67" applyFont="1" applyAlignment="1">
      <alignment horizontal="center"/>
    </xf>
    <xf numFmtId="0" fontId="83" fillId="0" borderId="0" xfId="67" applyFont="1" applyAlignment="1">
      <alignment horizontal="left" vertical="center"/>
    </xf>
    <xf numFmtId="10" fontId="83" fillId="0" borderId="0" xfId="67" applyNumberFormat="1" applyFont="1" applyAlignment="1">
      <alignment horizontal="center" vertical="top"/>
    </xf>
    <xf numFmtId="0" fontId="83" fillId="0" borderId="0" xfId="67" applyFont="1" applyAlignment="1">
      <alignment horizontal="center" vertical="top"/>
    </xf>
    <xf numFmtId="0" fontId="74" fillId="0" borderId="76" xfId="72" applyFont="1" applyBorder="1" applyAlignment="1">
      <alignment horizontal="center" vertical="center"/>
    </xf>
    <xf numFmtId="4" fontId="80" fillId="0" borderId="76" xfId="72" applyNumberFormat="1" applyFont="1" applyBorder="1" applyAlignment="1">
      <alignment horizontal="center" vertical="center"/>
    </xf>
    <xf numFmtId="0" fontId="79" fillId="0" borderId="0" xfId="72" applyFont="1" applyAlignment="1">
      <alignment horizontal="left" vertical="center"/>
    </xf>
    <xf numFmtId="0" fontId="0" fillId="0" borderId="79" xfId="72" applyFont="1" applyBorder="1" applyAlignment="1">
      <alignment horizontal="left" vertical="center"/>
    </xf>
    <xf numFmtId="181" fontId="0" fillId="0" borderId="78" xfId="72" applyNumberFormat="1" applyFont="1" applyBorder="1" applyAlignment="1">
      <alignment horizontal="left"/>
    </xf>
    <xf numFmtId="0" fontId="58" fillId="0" borderId="3" xfId="67" applyFont="1" applyBorder="1" applyAlignment="1">
      <alignment horizontal="center"/>
    </xf>
    <xf numFmtId="0" fontId="58" fillId="0" borderId="8" xfId="67" applyFont="1" applyBorder="1" applyAlignment="1">
      <alignment horizontal="center"/>
    </xf>
    <xf numFmtId="0" fontId="58" fillId="0" borderId="2" xfId="67" applyFont="1" applyBorder="1" applyAlignment="1">
      <alignment horizontal="center"/>
    </xf>
    <xf numFmtId="0" fontId="59" fillId="17" borderId="21" xfId="67" applyFont="1" applyFill="1" applyBorder="1" applyAlignment="1">
      <alignment horizontal="center" vertical="center" wrapText="1"/>
    </xf>
    <xf numFmtId="0" fontId="59" fillId="17" borderId="22" xfId="67" applyFont="1" applyFill="1" applyBorder="1" applyAlignment="1">
      <alignment horizontal="center" vertical="center" wrapText="1"/>
    </xf>
    <xf numFmtId="0" fontId="59" fillId="17" borderId="23" xfId="67" applyFont="1" applyFill="1" applyBorder="1" applyAlignment="1">
      <alignment horizontal="center" vertical="center" wrapText="1"/>
    </xf>
    <xf numFmtId="0" fontId="60" fillId="18" borderId="24" xfId="67" applyFont="1" applyFill="1" applyBorder="1" applyAlignment="1">
      <alignment horizontal="center" vertical="center" wrapText="1"/>
    </xf>
    <xf numFmtId="0" fontId="60" fillId="18" borderId="25" xfId="67" applyFont="1" applyFill="1" applyBorder="1" applyAlignment="1">
      <alignment horizontal="center" vertical="center" wrapText="1"/>
    </xf>
    <xf numFmtId="0" fontId="60" fillId="18" borderId="25" xfId="67" applyFont="1" applyFill="1" applyBorder="1" applyAlignment="1">
      <alignment horizontal="center" vertical="center"/>
    </xf>
    <xf numFmtId="0" fontId="60" fillId="18" borderId="26" xfId="67" applyFont="1" applyFill="1" applyBorder="1" applyAlignment="1">
      <alignment horizontal="center" vertical="center" wrapText="1"/>
    </xf>
    <xf numFmtId="0" fontId="60" fillId="18" borderId="29" xfId="67" applyFont="1" applyFill="1" applyBorder="1" applyAlignment="1">
      <alignment horizontal="center" vertical="center" wrapText="1"/>
    </xf>
    <xf numFmtId="0" fontId="60" fillId="18" borderId="30" xfId="67" applyFont="1" applyFill="1" applyBorder="1" applyAlignment="1">
      <alignment horizontal="center" vertical="center" wrapText="1"/>
    </xf>
    <xf numFmtId="0" fontId="60" fillId="18" borderId="27" xfId="67" applyFont="1" applyFill="1" applyBorder="1" applyAlignment="1">
      <alignment horizontal="center" vertical="center"/>
    </xf>
    <xf numFmtId="0" fontId="60" fillId="18" borderId="22" xfId="67" applyFont="1" applyFill="1" applyBorder="1" applyAlignment="1">
      <alignment horizontal="center" vertical="center"/>
    </xf>
    <xf numFmtId="0" fontId="60" fillId="18" borderId="28" xfId="67" applyFont="1" applyFill="1" applyBorder="1" applyAlignment="1">
      <alignment horizontal="center" vertical="center"/>
    </xf>
    <xf numFmtId="0" fontId="4" fillId="0" borderId="21" xfId="67" applyFont="1" applyBorder="1" applyAlignment="1">
      <alignment horizontal="left" vertical="center"/>
    </xf>
    <xf numFmtId="0" fontId="4" fillId="0" borderId="22" xfId="67" applyFont="1" applyBorder="1" applyAlignment="1">
      <alignment horizontal="left" vertical="center"/>
    </xf>
    <xf numFmtId="0" fontId="4" fillId="0" borderId="23" xfId="67" applyFont="1" applyBorder="1" applyAlignment="1">
      <alignment horizontal="left" vertical="center"/>
    </xf>
    <xf numFmtId="0" fontId="56" fillId="0" borderId="32" xfId="67" applyFont="1" applyBorder="1" applyAlignment="1">
      <alignment horizontal="center" vertical="center"/>
    </xf>
    <xf numFmtId="0" fontId="56" fillId="0" borderId="33" xfId="67" applyFont="1" applyBorder="1" applyAlignment="1">
      <alignment horizontal="center" vertical="center"/>
    </xf>
    <xf numFmtId="0" fontId="56" fillId="0" borderId="37" xfId="67" applyFont="1" applyBorder="1" applyAlignment="1">
      <alignment horizontal="center" vertical="center"/>
    </xf>
    <xf numFmtId="0" fontId="56" fillId="0" borderId="38" xfId="67" applyFont="1" applyBorder="1" applyAlignment="1">
      <alignment horizontal="center" vertical="center"/>
    </xf>
    <xf numFmtId="0" fontId="63" fillId="17" borderId="34" xfId="67" applyFont="1" applyFill="1" applyBorder="1" applyAlignment="1">
      <alignment horizontal="center" vertical="center"/>
    </xf>
    <xf numFmtId="0" fontId="63" fillId="17" borderId="35" xfId="67" applyFont="1" applyFill="1" applyBorder="1" applyAlignment="1">
      <alignment horizontal="center" vertical="center"/>
    </xf>
    <xf numFmtId="0" fontId="63" fillId="17" borderId="36" xfId="67" applyFont="1" applyFill="1" applyBorder="1" applyAlignment="1">
      <alignment horizontal="center" vertical="center"/>
    </xf>
    <xf numFmtId="0" fontId="56" fillId="17" borderId="39" xfId="67" applyFont="1" applyFill="1" applyBorder="1" applyAlignment="1">
      <alignment horizontal="center" vertical="center"/>
    </xf>
    <xf numFmtId="0" fontId="56" fillId="17" borderId="40" xfId="67" applyFont="1" applyFill="1" applyBorder="1" applyAlignment="1">
      <alignment horizontal="center" vertical="center"/>
    </xf>
    <xf numFmtId="0" fontId="56" fillId="17" borderId="41" xfId="67" applyFont="1" applyFill="1" applyBorder="1" applyAlignment="1">
      <alignment horizontal="center" vertical="center"/>
    </xf>
    <xf numFmtId="0" fontId="4" fillId="0" borderId="21" xfId="67" applyFont="1" applyBorder="1" applyAlignment="1">
      <alignment horizontal="right" vertical="center"/>
    </xf>
    <xf numFmtId="0" fontId="4" fillId="0" borderId="28" xfId="67" applyFont="1" applyBorder="1" applyAlignment="1">
      <alignment horizontal="right" vertical="center"/>
    </xf>
    <xf numFmtId="177" fontId="56" fillId="0" borderId="26" xfId="70" applyNumberFormat="1" applyFont="1" applyBorder="1" applyAlignment="1">
      <alignment horizontal="center" vertical="center"/>
    </xf>
    <xf numFmtId="177" fontId="56" fillId="0" borderId="29" xfId="70" applyNumberFormat="1" applyFont="1" applyBorder="1" applyAlignment="1">
      <alignment horizontal="center" vertical="center"/>
    </xf>
    <xf numFmtId="177" fontId="56" fillId="0" borderId="30" xfId="70" applyNumberFormat="1" applyFont="1" applyBorder="1" applyAlignment="1">
      <alignment horizontal="center" vertical="center"/>
    </xf>
    <xf numFmtId="10" fontId="56" fillId="19" borderId="32" xfId="70" applyNumberFormat="1" applyFont="1" applyFill="1" applyBorder="1" applyAlignment="1">
      <alignment horizontal="center" vertical="center"/>
    </xf>
    <xf numFmtId="10" fontId="56" fillId="19" borderId="33" xfId="70" applyNumberFormat="1" applyFont="1" applyFill="1" applyBorder="1" applyAlignment="1">
      <alignment horizontal="center" vertical="center"/>
    </xf>
    <xf numFmtId="10" fontId="56" fillId="19" borderId="37" xfId="70" applyNumberFormat="1" applyFont="1" applyFill="1" applyBorder="1" applyAlignment="1">
      <alignment horizontal="center" vertical="center"/>
    </xf>
    <xf numFmtId="10" fontId="56" fillId="19" borderId="38" xfId="70" applyNumberFormat="1" applyFont="1" applyFill="1" applyBorder="1" applyAlignment="1">
      <alignment horizontal="center" vertical="center"/>
    </xf>
    <xf numFmtId="10" fontId="56" fillId="19" borderId="25" xfId="70" applyNumberFormat="1" applyFont="1" applyFill="1" applyBorder="1" applyAlignment="1">
      <alignment horizontal="center" vertical="center"/>
    </xf>
    <xf numFmtId="0" fontId="28" fillId="0" borderId="0" xfId="67" applyFont="1" applyAlignment="1">
      <alignment horizontal="center"/>
    </xf>
    <xf numFmtId="0" fontId="4" fillId="19" borderId="21" xfId="67" applyFont="1" applyFill="1" applyBorder="1" applyAlignment="1">
      <alignment horizontal="justify" vertical="center" wrapText="1"/>
    </xf>
    <xf numFmtId="0" fontId="4" fillId="19" borderId="22" xfId="67" applyFont="1" applyFill="1" applyBorder="1" applyAlignment="1">
      <alignment horizontal="justify" vertical="center" wrapText="1"/>
    </xf>
    <xf numFmtId="0" fontId="4" fillId="19" borderId="23" xfId="67" applyFont="1" applyFill="1" applyBorder="1" applyAlignment="1">
      <alignment horizontal="justify" vertical="center" wrapText="1"/>
    </xf>
    <xf numFmtId="0" fontId="29" fillId="0" borderId="8" xfId="67" applyFont="1" applyBorder="1" applyAlignment="1">
      <alignment horizontal="center"/>
    </xf>
    <xf numFmtId="0" fontId="29" fillId="0" borderId="8" xfId="67" applyFont="1" applyBorder="1" applyAlignment="1">
      <alignment horizontal="center" wrapText="1"/>
    </xf>
    <xf numFmtId="0" fontId="56" fillId="17" borderId="21" xfId="67" applyFont="1" applyFill="1" applyBorder="1" applyAlignment="1">
      <alignment horizontal="center" vertical="center"/>
    </xf>
    <xf numFmtId="0" fontId="56" fillId="17" borderId="22" xfId="67" applyFont="1" applyFill="1" applyBorder="1" applyAlignment="1">
      <alignment horizontal="center" vertical="center"/>
    </xf>
    <xf numFmtId="0" fontId="56" fillId="17" borderId="23" xfId="67" applyFont="1" applyFill="1" applyBorder="1" applyAlignment="1">
      <alignment horizontal="center" vertical="center"/>
    </xf>
  </cellXfs>
  <cellStyles count="76">
    <cellStyle name="60% - Accent1" xfId="10" xr:uid="{00000000-0005-0000-0000-000000000000}"/>
    <cellStyle name="Accent1" xfId="11" xr:uid="{00000000-0005-0000-0000-000001000000}"/>
    <cellStyle name="Check Cell" xfId="12" xr:uid="{00000000-0005-0000-0000-000002000000}"/>
    <cellStyle name="Data" xfId="13" xr:uid="{00000000-0005-0000-0000-000003000000}"/>
    <cellStyle name="Euro" xfId="14" xr:uid="{00000000-0005-0000-0000-000004000000}"/>
    <cellStyle name="Excel Built-in Normal" xfId="15" xr:uid="{00000000-0005-0000-0000-000005000000}"/>
    <cellStyle name="Excel Built-in Normal 1" xfId="16" xr:uid="{00000000-0005-0000-0000-000006000000}"/>
    <cellStyle name="Excel_BuiltIn_Comma" xfId="17" xr:uid="{00000000-0005-0000-0000-000007000000}"/>
    <cellStyle name="Fixo" xfId="18" xr:uid="{00000000-0005-0000-0000-000008000000}"/>
    <cellStyle name="Good" xfId="19" xr:uid="{00000000-0005-0000-0000-000009000000}"/>
    <cellStyle name="HEADER" xfId="20" xr:uid="{00000000-0005-0000-0000-00000A000000}"/>
    <cellStyle name="Input" xfId="21" xr:uid="{00000000-0005-0000-0000-00000B000000}"/>
    <cellStyle name="Linked Cell" xfId="22" xr:uid="{00000000-0005-0000-0000-00000C000000}"/>
    <cellStyle name="Milliers [0]_after_discount" xfId="23" xr:uid="{00000000-0005-0000-0000-00000D000000}"/>
    <cellStyle name="Milliers_after_discount" xfId="24" xr:uid="{00000000-0005-0000-0000-00000E000000}"/>
    <cellStyle name="Model" xfId="25" xr:uid="{00000000-0005-0000-0000-00000F000000}"/>
    <cellStyle name="Moeda" xfId="66" builtinId="4"/>
    <cellStyle name="Moeda 2" xfId="26" xr:uid="{00000000-0005-0000-0000-000011000000}"/>
    <cellStyle name="Moeda 3" xfId="27" xr:uid="{00000000-0005-0000-0000-000012000000}"/>
    <cellStyle name="Moeda 4" xfId="75" xr:uid="{0316857B-480C-47DC-9729-61BF15F46863}"/>
    <cellStyle name="Moeda_Composicao BDI v2.1" xfId="74" xr:uid="{DE25050F-B532-44CC-A7C2-86D8BA797FFE}"/>
    <cellStyle name="Monétaire [0]_after_discount" xfId="28" xr:uid="{00000000-0005-0000-0000-000013000000}"/>
    <cellStyle name="Monétaire_after_discount" xfId="29" xr:uid="{00000000-0005-0000-0000-000014000000}"/>
    <cellStyle name="Neutral" xfId="30" xr:uid="{00000000-0005-0000-0000-000015000000}"/>
    <cellStyle name="Normal" xfId="0" builtinId="0"/>
    <cellStyle name="Normal 10" xfId="67" xr:uid="{00000000-0005-0000-0000-000017000000}"/>
    <cellStyle name="Normal 2" xfId="3" xr:uid="{00000000-0005-0000-0000-000018000000}"/>
    <cellStyle name="Normal 2 2" xfId="31" xr:uid="{00000000-0005-0000-0000-000019000000}"/>
    <cellStyle name="Normal 2 2 2" xfId="64" xr:uid="{00000000-0005-0000-0000-00001A000000}"/>
    <cellStyle name="Normal 2 3" xfId="63" xr:uid="{00000000-0005-0000-0000-00001B000000}"/>
    <cellStyle name="Normal 2 4" xfId="71" xr:uid="{D47F5829-ACC4-48B6-B887-846F5BDB53FB}"/>
    <cellStyle name="Normal 2 4 2" xfId="72" xr:uid="{6E8121D4-956C-47E2-BF78-4E30861695B2}"/>
    <cellStyle name="Normal 3" xfId="32" xr:uid="{00000000-0005-0000-0000-00001C000000}"/>
    <cellStyle name="Normal 4" xfId="33" xr:uid="{00000000-0005-0000-0000-00001D000000}"/>
    <cellStyle name="Normal 4 2" xfId="68" xr:uid="{00000000-0005-0000-0000-00001E000000}"/>
    <cellStyle name="Normal_FICHA DE VERIFICAÇÃO PRELIMINAR - Plano R" xfId="73" xr:uid="{1DB2E1B8-EC23-4BB3-9BDB-84359B966F4A}"/>
    <cellStyle name="Normal_orç águaFAlameidaII " xfId="6" xr:uid="{00000000-0005-0000-0000-00001F000000}"/>
    <cellStyle name="Note" xfId="34" xr:uid="{00000000-0005-0000-0000-000020000000}"/>
    <cellStyle name="Œ…‹æØ‚è [0.00]_COST_SUM" xfId="35" xr:uid="{00000000-0005-0000-0000-000021000000}"/>
    <cellStyle name="Œ…‹æØ‚è_COST_SUM" xfId="36" xr:uid="{00000000-0005-0000-0000-000022000000}"/>
    <cellStyle name="Percentual" xfId="37" xr:uid="{00000000-0005-0000-0000-000023000000}"/>
    <cellStyle name="Ponto" xfId="38" xr:uid="{00000000-0005-0000-0000-000024000000}"/>
    <cellStyle name="Porcentagem" xfId="1" builtinId="5"/>
    <cellStyle name="Porcentagem 2" xfId="39" xr:uid="{00000000-0005-0000-0000-000026000000}"/>
    <cellStyle name="Porcentagem 2 2" xfId="7" xr:uid="{00000000-0005-0000-0000-000027000000}"/>
    <cellStyle name="Porcentagem 2 2 2" xfId="69" xr:uid="{00000000-0005-0000-0000-000028000000}"/>
    <cellStyle name="Porcentagem 2 2 3" xfId="70" xr:uid="{00000000-0005-0000-0000-000029000000}"/>
    <cellStyle name="Porcentagem 3" xfId="40" xr:uid="{00000000-0005-0000-0000-00002A000000}"/>
    <cellStyle name="Porcentagem 3 2" xfId="41" xr:uid="{00000000-0005-0000-0000-00002B000000}"/>
    <cellStyle name="Porcentagem 4" xfId="42" xr:uid="{00000000-0005-0000-0000-00002C000000}"/>
    <cellStyle name="Porcentagem 5" xfId="43" xr:uid="{00000000-0005-0000-0000-00002D000000}"/>
    <cellStyle name="Separador de m" xfId="44" xr:uid="{00000000-0005-0000-0000-00002E000000}"/>
    <cellStyle name="Separador de milhares 2" xfId="5" xr:uid="{00000000-0005-0000-0000-00002F000000}"/>
    <cellStyle name="Separador de milhares 2 2" xfId="9" xr:uid="{00000000-0005-0000-0000-000030000000}"/>
    <cellStyle name="Separador de milhares 3" xfId="8" xr:uid="{00000000-0005-0000-0000-000031000000}"/>
    <cellStyle name="Separador de milhares 3 2" xfId="45" xr:uid="{00000000-0005-0000-0000-000032000000}"/>
    <cellStyle name="Separador de milhares 4" xfId="46" xr:uid="{00000000-0005-0000-0000-000033000000}"/>
    <cellStyle name="Separador de milhares 5" xfId="47" xr:uid="{00000000-0005-0000-0000-000034000000}"/>
    <cellStyle name="Separador de milhares 6" xfId="48" xr:uid="{00000000-0005-0000-0000-000035000000}"/>
    <cellStyle name="Separador de milhares 6 2" xfId="49" xr:uid="{00000000-0005-0000-0000-000036000000}"/>
    <cellStyle name="Separador de milhares 7" xfId="50" xr:uid="{00000000-0005-0000-0000-000037000000}"/>
    <cellStyle name="Separador de milhares_Modelo Orçamento" xfId="4" xr:uid="{00000000-0005-0000-0000-000038000000}"/>
    <cellStyle name="subhead" xfId="51" xr:uid="{00000000-0005-0000-0000-000039000000}"/>
    <cellStyle name="SUBTIT" xfId="52" xr:uid="{00000000-0005-0000-0000-00003A000000}"/>
    <cellStyle name="SUBTIT 2" xfId="53" xr:uid="{00000000-0005-0000-0000-00003B000000}"/>
    <cellStyle name="Título 1 1" xfId="54" xr:uid="{00000000-0005-0000-0000-00003C000000}"/>
    <cellStyle name="Titulo1" xfId="55" xr:uid="{00000000-0005-0000-0000-00003D000000}"/>
    <cellStyle name="Titulo2" xfId="56" xr:uid="{00000000-0005-0000-0000-00003E000000}"/>
    <cellStyle name="Vírgula" xfId="2" builtinId="3"/>
    <cellStyle name="Vírgula 2" xfId="57" xr:uid="{00000000-0005-0000-0000-000040000000}"/>
    <cellStyle name="Vírgula 2 2" xfId="58" xr:uid="{00000000-0005-0000-0000-000041000000}"/>
    <cellStyle name="Vírgula 3" xfId="59" xr:uid="{00000000-0005-0000-0000-000042000000}"/>
    <cellStyle name="Vírgula 4" xfId="60" xr:uid="{00000000-0005-0000-0000-000043000000}"/>
    <cellStyle name="Vírgula 5" xfId="61" xr:uid="{00000000-0005-0000-0000-000044000000}"/>
    <cellStyle name="Vírgula 6" xfId="65" xr:uid="{00000000-0005-0000-0000-000045000000}"/>
    <cellStyle name="Warning Text" xfId="62" xr:uid="{00000000-0005-0000-0000-000046000000}"/>
  </cellStyles>
  <dxfs count="13">
    <dxf>
      <font>
        <color rgb="FFFF000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</font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</font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7\PMBF\CAL&#199;AMENTO%20SANTA%20TEREZINHA\PLANILHA%20M&#218;LTIPLA%202.3_BIAS%20FORTES_REV%2003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OneDrive\NOTEBOOK%20DELL\HD%20DO%20NOTEBOOK\HD%20EXTERNO%202022\2025\PM%20ARACITABA\FNHIS%20-%20CASAS%20POPULARES\Planilha_Multipla_Sapatas.xlsm" TargetMode="External"/><Relationship Id="rId1" Type="http://schemas.openxmlformats.org/officeDocument/2006/relationships/externalLinkPath" Target="file:///F:\OneDrive\NOTEBOOK%20DELL\HD%20DO%20NOTEBOOK\HD%20EXTERNO%202022\2025\PM%20ARACITABA\FNHIS%20-%20CASAS%20POPULARES\Planilha_Multipla_Sapata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OneDrive\NOTEBOOK%20DELL\HD%20DO%20NOTEBOOK\HD%20EXTERNO%202022\2024\PM_ARACITABA\ESPA&#199;O%20PUBLICO%20MULTIUSO\REV%20FINAL%2002%20APROVADA\MEDI&#199;&#213;ES\PLANILHA%20ESPA&#199;O%20MULTIUSO%20ESTADUAL%20ARACITABA%20REV%20FINAL%2002%20BM-03.xlsx" TargetMode="External"/><Relationship Id="rId1" Type="http://schemas.openxmlformats.org/officeDocument/2006/relationships/externalLinkPath" Target="file:///F:\OneDrive\NOTEBOOK%20DELL\HD%20DO%20NOTEBOOK\HD%20EXTERNO%202022\2024\PM_ARACITABA\ESPA&#199;O%20PUBLICO%20MULTIUSO\REV%20FINAL%2002%20APROVADA\MEDI&#199;&#213;ES\PLANILHA%20ESPA&#199;O%20MULTIUSO%20ESTADUAL%20ARACITABA%20REV%20FINAL%2002%20BM-0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neDrive\NOTEBOOK%20DELL\HD%20DO%20NOTEBOOK\HD%20EXTERNO%202022\2022\PM%20BOM%20JARDIM\CAL&#199;AMENTO%20TABOAO%20CONV%20931361_2022\CONV.%20ESTADUAL\PLANILHA%20CAL&#199;AMENTO%20TABO&#195;O_REV%20FINAL%2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/>
      <sheetData sheetId="1"/>
      <sheetData sheetId="2">
        <row r="29">
          <cell r="G29">
            <v>42826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>
        <row r="5">
          <cell r="C5" t="str">
            <v>PREFEITURA MUNICIPAL DE ARACITABA</v>
          </cell>
        </row>
        <row r="6">
          <cell r="C6" t="str">
            <v>ARACITABA</v>
          </cell>
        </row>
        <row r="7">
          <cell r="C7" t="str">
            <v>039934/2025</v>
          </cell>
        </row>
        <row r="8">
          <cell r="C8" t="str">
            <v>039934/2025</v>
          </cell>
        </row>
        <row r="16">
          <cell r="C16" t="str">
            <v>Casa térrea acessível, 2 quartos, Autil=47,46m², sapatas, conforme Portaria MCID 1416/2023</v>
          </cell>
        </row>
        <row r="17">
          <cell r="C17" t="str">
            <v>CONSTRUÇÃO DE CASAS POPULARES</v>
          </cell>
        </row>
        <row r="18">
          <cell r="C18" t="str">
            <v>NÃO DESONERADO</v>
          </cell>
          <cell r="D18" t="str">
            <v/>
          </cell>
        </row>
        <row r="19">
          <cell r="D19" t="str">
            <v/>
          </cell>
        </row>
        <row r="22">
          <cell r="C22" t="str">
            <v>PRISCILA CRISTINA DE PAULA NETO</v>
          </cell>
        </row>
        <row r="23">
          <cell r="C23" t="str">
            <v>142.702/D</v>
          </cell>
        </row>
        <row r="24">
          <cell r="C24" t="str">
            <v>MG20254432279</v>
          </cell>
        </row>
        <row r="25">
          <cell r="C25">
            <v>45957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15">
          <cell r="V15"/>
        </row>
        <row r="16">
          <cell r="V16" t="str">
            <v>BDI 1</v>
          </cell>
        </row>
        <row r="17">
          <cell r="V17" t="str">
            <v>BDI 1</v>
          </cell>
        </row>
        <row r="18">
          <cell r="V18" t="str">
            <v>BDI 1</v>
          </cell>
        </row>
        <row r="19">
          <cell r="V19" t="str">
            <v>BDI 1</v>
          </cell>
        </row>
        <row r="20">
          <cell r="V20" t="str">
            <v>BDI 1</v>
          </cell>
        </row>
        <row r="21">
          <cell r="V21" t="str">
            <v>BDI 1</v>
          </cell>
        </row>
        <row r="22">
          <cell r="V22" t="str">
            <v>BDI 1</v>
          </cell>
        </row>
        <row r="23">
          <cell r="V23" t="str">
            <v>BDI 1</v>
          </cell>
        </row>
        <row r="24">
          <cell r="V24" t="str">
            <v>BDI 1</v>
          </cell>
        </row>
        <row r="25">
          <cell r="V25" t="str">
            <v>BDI 1</v>
          </cell>
        </row>
        <row r="26">
          <cell r="V26" t="str">
            <v>BDI 1</v>
          </cell>
        </row>
        <row r="27">
          <cell r="V27" t="str">
            <v>BDI 1</v>
          </cell>
        </row>
        <row r="28">
          <cell r="V28" t="str">
            <v>BDI 1</v>
          </cell>
        </row>
        <row r="29">
          <cell r="V29" t="str">
            <v>BDI 1</v>
          </cell>
        </row>
        <row r="30">
          <cell r="V30" t="str">
            <v>BDI 1</v>
          </cell>
        </row>
        <row r="31">
          <cell r="V31" t="str">
            <v>BDI 1</v>
          </cell>
        </row>
        <row r="32">
          <cell r="V32" t="str">
            <v>BDI 1</v>
          </cell>
        </row>
        <row r="33">
          <cell r="V33" t="str">
            <v>BDI 1</v>
          </cell>
        </row>
        <row r="34">
          <cell r="V34" t="str">
            <v>BDI 1</v>
          </cell>
        </row>
        <row r="35">
          <cell r="V35" t="str">
            <v>BDI 1</v>
          </cell>
        </row>
        <row r="36">
          <cell r="V36" t="str">
            <v>BDI 1</v>
          </cell>
        </row>
        <row r="37">
          <cell r="V37" t="str">
            <v>BDI 1</v>
          </cell>
        </row>
        <row r="38">
          <cell r="V38" t="str">
            <v>BDI 1</v>
          </cell>
        </row>
        <row r="39">
          <cell r="V39" t="str">
            <v>BDI 1</v>
          </cell>
        </row>
        <row r="40">
          <cell r="V40" t="str">
            <v>BDI 1</v>
          </cell>
        </row>
        <row r="41">
          <cell r="V41" t="str">
            <v>BDI 1</v>
          </cell>
        </row>
        <row r="42">
          <cell r="V42" t="str">
            <v>BDI 1</v>
          </cell>
        </row>
        <row r="43">
          <cell r="V43" t="str">
            <v>BDI 1</v>
          </cell>
        </row>
        <row r="44">
          <cell r="V44" t="str">
            <v>BDI 1</v>
          </cell>
        </row>
        <row r="45">
          <cell r="V45" t="str">
            <v>BDI 1</v>
          </cell>
        </row>
        <row r="46">
          <cell r="V46" t="str">
            <v>BDI 1</v>
          </cell>
        </row>
        <row r="47">
          <cell r="V47" t="str">
            <v>BDI 1</v>
          </cell>
        </row>
        <row r="48">
          <cell r="V48" t="str">
            <v>BDI 1</v>
          </cell>
        </row>
        <row r="49">
          <cell r="V49" t="str">
            <v>BDI 1</v>
          </cell>
        </row>
        <row r="50">
          <cell r="V50" t="str">
            <v>BDI 1</v>
          </cell>
        </row>
        <row r="51">
          <cell r="V51" t="str">
            <v>BDI 1</v>
          </cell>
        </row>
        <row r="52">
          <cell r="V52" t="str">
            <v>BDI 1</v>
          </cell>
        </row>
        <row r="53">
          <cell r="V53" t="str">
            <v>BDI 1</v>
          </cell>
        </row>
        <row r="54">
          <cell r="V54" t="str">
            <v>BDI 1</v>
          </cell>
        </row>
        <row r="55">
          <cell r="V55" t="str">
            <v>BDI 1</v>
          </cell>
        </row>
        <row r="56">
          <cell r="V56" t="str">
            <v>BDI 1</v>
          </cell>
        </row>
        <row r="57">
          <cell r="V57" t="str">
            <v>BDI 1</v>
          </cell>
        </row>
        <row r="58">
          <cell r="V58" t="str">
            <v>BDI 1</v>
          </cell>
        </row>
        <row r="59">
          <cell r="V59" t="str">
            <v>BDI 1</v>
          </cell>
        </row>
        <row r="60">
          <cell r="V60" t="str">
            <v>BDI 1</v>
          </cell>
        </row>
        <row r="61">
          <cell r="V61" t="str">
            <v>BDI 1</v>
          </cell>
        </row>
        <row r="62">
          <cell r="V62" t="str">
            <v>BDI 1</v>
          </cell>
        </row>
        <row r="63">
          <cell r="V63" t="str">
            <v>BDI 1</v>
          </cell>
        </row>
        <row r="64">
          <cell r="V64" t="str">
            <v>BDI 1</v>
          </cell>
        </row>
        <row r="65">
          <cell r="V65" t="str">
            <v>BDI 1</v>
          </cell>
        </row>
        <row r="66">
          <cell r="V66" t="str">
            <v>BDI 1</v>
          </cell>
        </row>
        <row r="67">
          <cell r="V67" t="str">
            <v>BDI 1</v>
          </cell>
        </row>
        <row r="68">
          <cell r="V68" t="str">
            <v>BDI 1</v>
          </cell>
        </row>
        <row r="69">
          <cell r="V69" t="str">
            <v>BDI 1</v>
          </cell>
        </row>
        <row r="70">
          <cell r="V70" t="str">
            <v>BDI 1</v>
          </cell>
        </row>
        <row r="71">
          <cell r="V71" t="str">
            <v>BDI 1</v>
          </cell>
        </row>
        <row r="72">
          <cell r="V72" t="str">
            <v>BDI 1</v>
          </cell>
        </row>
        <row r="73">
          <cell r="V73" t="str">
            <v>BDI 1</v>
          </cell>
        </row>
        <row r="74">
          <cell r="V74" t="str">
            <v>BDI 1</v>
          </cell>
        </row>
        <row r="75">
          <cell r="V75" t="str">
            <v>BDI 1</v>
          </cell>
        </row>
        <row r="76">
          <cell r="V76" t="str">
            <v>BDI 1</v>
          </cell>
        </row>
        <row r="77">
          <cell r="V77" t="str">
            <v>BDI 1</v>
          </cell>
        </row>
        <row r="78">
          <cell r="V78" t="str">
            <v>BDI 1</v>
          </cell>
        </row>
        <row r="79">
          <cell r="V79" t="str">
            <v>BDI 1</v>
          </cell>
        </row>
        <row r="80">
          <cell r="V80" t="str">
            <v>BDI 1</v>
          </cell>
        </row>
        <row r="81">
          <cell r="V81" t="str">
            <v>BDI 1</v>
          </cell>
        </row>
        <row r="82">
          <cell r="V82" t="str">
            <v>BDI 1</v>
          </cell>
        </row>
        <row r="83">
          <cell r="V83" t="str">
            <v>BDI 1</v>
          </cell>
        </row>
        <row r="84">
          <cell r="V84" t="str">
            <v>BDI 1</v>
          </cell>
        </row>
        <row r="85">
          <cell r="V85" t="str">
            <v>BDI 1</v>
          </cell>
        </row>
        <row r="86">
          <cell r="V86" t="str">
            <v>BDI 1</v>
          </cell>
        </row>
        <row r="87">
          <cell r="V87" t="str">
            <v>BDI 1</v>
          </cell>
        </row>
        <row r="88">
          <cell r="V88" t="str">
            <v>BDI 1</v>
          </cell>
        </row>
        <row r="89">
          <cell r="V89" t="str">
            <v>BDI 1</v>
          </cell>
        </row>
        <row r="90">
          <cell r="V90" t="str">
            <v>BDI 1</v>
          </cell>
        </row>
        <row r="91">
          <cell r="V91" t="str">
            <v>BDI 1</v>
          </cell>
        </row>
        <row r="92">
          <cell r="V92" t="str">
            <v>BDI 1</v>
          </cell>
        </row>
        <row r="93">
          <cell r="V93" t="str">
            <v>BDI 1</v>
          </cell>
        </row>
        <row r="94">
          <cell r="V94" t="str">
            <v>BDI 1</v>
          </cell>
        </row>
        <row r="95">
          <cell r="V95" t="str">
            <v>BDI 1</v>
          </cell>
        </row>
        <row r="96">
          <cell r="V96" t="str">
            <v>BDI 1</v>
          </cell>
        </row>
        <row r="97">
          <cell r="V97" t="str">
            <v>BDI 1</v>
          </cell>
        </row>
        <row r="98">
          <cell r="V98" t="str">
            <v>BDI 1</v>
          </cell>
        </row>
        <row r="99">
          <cell r="V99" t="str">
            <v>BDI 1</v>
          </cell>
        </row>
        <row r="100">
          <cell r="V100" t="str">
            <v>BDI 1</v>
          </cell>
        </row>
        <row r="101">
          <cell r="V101" t="str">
            <v>BDI 1</v>
          </cell>
        </row>
        <row r="102">
          <cell r="V102" t="str">
            <v>BDI 1</v>
          </cell>
        </row>
        <row r="103">
          <cell r="V103" t="str">
            <v>BDI 1</v>
          </cell>
        </row>
        <row r="104">
          <cell r="V104" t="str">
            <v>BDI 1</v>
          </cell>
        </row>
        <row r="105">
          <cell r="V105" t="str">
            <v>BDI 1</v>
          </cell>
        </row>
        <row r="106">
          <cell r="V106" t="str">
            <v>BDI 1</v>
          </cell>
        </row>
        <row r="107">
          <cell r="V107" t="str">
            <v>BDI 1</v>
          </cell>
        </row>
        <row r="108">
          <cell r="V108" t="str">
            <v>BDI 1</v>
          </cell>
        </row>
        <row r="109">
          <cell r="V109" t="str">
            <v>BDI 1</v>
          </cell>
        </row>
        <row r="110">
          <cell r="V110" t="str">
            <v>BDI 1</v>
          </cell>
        </row>
        <row r="111">
          <cell r="V111" t="str">
            <v>BDI 1</v>
          </cell>
        </row>
        <row r="112">
          <cell r="V112" t="str">
            <v>BDI 1</v>
          </cell>
        </row>
        <row r="113">
          <cell r="V113" t="str">
            <v>BDI 1</v>
          </cell>
        </row>
        <row r="114">
          <cell r="V114" t="str">
            <v>BDI 1</v>
          </cell>
        </row>
        <row r="115">
          <cell r="V115" t="str">
            <v>BDI 1</v>
          </cell>
        </row>
        <row r="116">
          <cell r="V116" t="str">
            <v>BDI 1</v>
          </cell>
        </row>
        <row r="117">
          <cell r="V117" t="str">
            <v>BDI 1</v>
          </cell>
        </row>
        <row r="118">
          <cell r="V118" t="str">
            <v>BDI 1</v>
          </cell>
        </row>
        <row r="119">
          <cell r="V119" t="str">
            <v>BDI 1</v>
          </cell>
        </row>
        <row r="120">
          <cell r="V120" t="str">
            <v>BDI 1</v>
          </cell>
        </row>
        <row r="121">
          <cell r="V121" t="str">
            <v>BDI 1</v>
          </cell>
        </row>
        <row r="122">
          <cell r="V122" t="str">
            <v>BDI 1</v>
          </cell>
        </row>
        <row r="123">
          <cell r="V123" t="str">
            <v>BDI 1</v>
          </cell>
        </row>
        <row r="124">
          <cell r="V124" t="str">
            <v>BDI 1</v>
          </cell>
        </row>
        <row r="125">
          <cell r="V125" t="str">
            <v>BDI 1</v>
          </cell>
        </row>
        <row r="126">
          <cell r="V126" t="str">
            <v>BDI 1</v>
          </cell>
        </row>
        <row r="127">
          <cell r="V127" t="str">
            <v>BDI 1</v>
          </cell>
        </row>
        <row r="128">
          <cell r="V128" t="str">
            <v>BDI 1</v>
          </cell>
        </row>
        <row r="129">
          <cell r="V129" t="str">
            <v>BDI 1</v>
          </cell>
        </row>
        <row r="130">
          <cell r="V130" t="str">
            <v>BDI 1</v>
          </cell>
        </row>
        <row r="131">
          <cell r="V131" t="str">
            <v>BDI 1</v>
          </cell>
        </row>
        <row r="132">
          <cell r="V132" t="str">
            <v>BDI 1</v>
          </cell>
        </row>
        <row r="133">
          <cell r="V133" t="str">
            <v>BDI 1</v>
          </cell>
        </row>
        <row r="134">
          <cell r="V134" t="str">
            <v>BDI 1</v>
          </cell>
        </row>
        <row r="135">
          <cell r="V135" t="str">
            <v>BDI 1</v>
          </cell>
        </row>
        <row r="136">
          <cell r="V136" t="str">
            <v>BDI 1</v>
          </cell>
        </row>
        <row r="137">
          <cell r="V137" t="str">
            <v>BDI 1</v>
          </cell>
        </row>
        <row r="138">
          <cell r="V138" t="str">
            <v>BDI 1</v>
          </cell>
        </row>
        <row r="139">
          <cell r="V139" t="str">
            <v>BDI 1</v>
          </cell>
        </row>
        <row r="140">
          <cell r="V140" t="str">
            <v>BDI 1</v>
          </cell>
        </row>
        <row r="141">
          <cell r="V141" t="str">
            <v>BDI 1</v>
          </cell>
        </row>
        <row r="142">
          <cell r="V142" t="str">
            <v>BDI 1</v>
          </cell>
        </row>
        <row r="143">
          <cell r="V143" t="str">
            <v>BDI 1</v>
          </cell>
        </row>
        <row r="144">
          <cell r="V144" t="str">
            <v>BDI 1</v>
          </cell>
        </row>
        <row r="145">
          <cell r="V145" t="str">
            <v>BDI 1</v>
          </cell>
        </row>
        <row r="146">
          <cell r="V146" t="str">
            <v>BDI 1</v>
          </cell>
        </row>
        <row r="147">
          <cell r="V147" t="str">
            <v>BDI 1</v>
          </cell>
        </row>
        <row r="148">
          <cell r="V148" t="str">
            <v>BDI 1</v>
          </cell>
        </row>
        <row r="149">
          <cell r="V149" t="str">
            <v>BDI 1</v>
          </cell>
        </row>
        <row r="150">
          <cell r="V150" t="str">
            <v>BDI 1</v>
          </cell>
        </row>
        <row r="151">
          <cell r="V151" t="str">
            <v>BDI 1</v>
          </cell>
        </row>
        <row r="152">
          <cell r="V152" t="str">
            <v>BDI 1</v>
          </cell>
        </row>
        <row r="153">
          <cell r="V153" t="str">
            <v>BDI 1</v>
          </cell>
        </row>
        <row r="154">
          <cell r="V154" t="str">
            <v>BDI 1</v>
          </cell>
        </row>
        <row r="155">
          <cell r="V155" t="str">
            <v>BDI 1</v>
          </cell>
        </row>
        <row r="156">
          <cell r="V156" t="str">
            <v>BDI 1</v>
          </cell>
        </row>
        <row r="157">
          <cell r="V157" t="str">
            <v>BDI 1</v>
          </cell>
        </row>
        <row r="158">
          <cell r="V158" t="str">
            <v>BDI 1</v>
          </cell>
        </row>
        <row r="159">
          <cell r="V159" t="str">
            <v>BDI 1</v>
          </cell>
        </row>
        <row r="160">
          <cell r="V160" t="str">
            <v>BDI 1</v>
          </cell>
        </row>
        <row r="161">
          <cell r="V161" t="str">
            <v>BDI 1</v>
          </cell>
        </row>
        <row r="162">
          <cell r="V162" t="str">
            <v>BDI 1</v>
          </cell>
        </row>
        <row r="163">
          <cell r="V163" t="str">
            <v>BDI 1</v>
          </cell>
        </row>
        <row r="164">
          <cell r="V164" t="str">
            <v>BDI 1</v>
          </cell>
        </row>
        <row r="165">
          <cell r="V165" t="str">
            <v>BDI 1</v>
          </cell>
        </row>
        <row r="166">
          <cell r="V166" t="str">
            <v>BDI 1</v>
          </cell>
        </row>
        <row r="167">
          <cell r="V167" t="str">
            <v>BDI 1</v>
          </cell>
        </row>
        <row r="168">
          <cell r="V168" t="str">
            <v>BDI 1</v>
          </cell>
        </row>
        <row r="169">
          <cell r="V169" t="str">
            <v>BDI 1</v>
          </cell>
        </row>
        <row r="170">
          <cell r="V170" t="str">
            <v>BDI 1</v>
          </cell>
        </row>
        <row r="171">
          <cell r="V171" t="str">
            <v>BDI 1</v>
          </cell>
        </row>
        <row r="172">
          <cell r="V172" t="str">
            <v>BDI 1</v>
          </cell>
        </row>
        <row r="173">
          <cell r="V173" t="str">
            <v>BDI 1</v>
          </cell>
        </row>
        <row r="174">
          <cell r="V174" t="str">
            <v>BDI 1</v>
          </cell>
        </row>
        <row r="175">
          <cell r="V175" t="str">
            <v>BDI 1</v>
          </cell>
        </row>
        <row r="176">
          <cell r="V176" t="str">
            <v>BDI 1</v>
          </cell>
        </row>
        <row r="177">
          <cell r="V177" t="str">
            <v>BDI 1</v>
          </cell>
        </row>
        <row r="178">
          <cell r="V178" t="str">
            <v>BDI 1</v>
          </cell>
        </row>
        <row r="179">
          <cell r="V179" t="str">
            <v>BDI 1</v>
          </cell>
        </row>
        <row r="180">
          <cell r="V180" t="str">
            <v>BDI 1</v>
          </cell>
        </row>
        <row r="181">
          <cell r="V181" t="str">
            <v>BDI 1</v>
          </cell>
        </row>
        <row r="182">
          <cell r="V182" t="str">
            <v>BDI 1</v>
          </cell>
        </row>
        <row r="183">
          <cell r="V183" t="str">
            <v>BDI 1</v>
          </cell>
        </row>
        <row r="184">
          <cell r="V184" t="str">
            <v>BDI 1</v>
          </cell>
        </row>
        <row r="185">
          <cell r="V185" t="str">
            <v>BDI 1</v>
          </cell>
        </row>
        <row r="186">
          <cell r="V186" t="str">
            <v>BDI 1</v>
          </cell>
        </row>
        <row r="187">
          <cell r="V187" t="str">
            <v>BDI 1</v>
          </cell>
        </row>
        <row r="188">
          <cell r="V188" t="str">
            <v>BDI 1</v>
          </cell>
        </row>
        <row r="189">
          <cell r="V189" t="str">
            <v>BDI 1</v>
          </cell>
        </row>
        <row r="190">
          <cell r="V190" t="str">
            <v>BDI 1</v>
          </cell>
        </row>
        <row r="191">
          <cell r="V191" t="str">
            <v>BDI 1</v>
          </cell>
        </row>
        <row r="192">
          <cell r="V192" t="str">
            <v>BDI 1</v>
          </cell>
        </row>
        <row r="193">
          <cell r="V193" t="str">
            <v>BDI 1</v>
          </cell>
        </row>
        <row r="194">
          <cell r="V194" t="str">
            <v>BDI 1</v>
          </cell>
        </row>
        <row r="195">
          <cell r="V195" t="str">
            <v>BDI 1</v>
          </cell>
        </row>
        <row r="196">
          <cell r="V196" t="str">
            <v>BDI 1</v>
          </cell>
        </row>
        <row r="197">
          <cell r="V197" t="str">
            <v>BDI 1</v>
          </cell>
        </row>
        <row r="198">
          <cell r="V198" t="str">
            <v>BDI 1</v>
          </cell>
        </row>
        <row r="199">
          <cell r="V199" t="str">
            <v>BDI 1</v>
          </cell>
        </row>
        <row r="200">
          <cell r="V200" t="str">
            <v>BDI 1</v>
          </cell>
        </row>
        <row r="201">
          <cell r="V201" t="str">
            <v>BDI 1</v>
          </cell>
        </row>
        <row r="202">
          <cell r="V202" t="str">
            <v>BDI 1</v>
          </cell>
        </row>
        <row r="203">
          <cell r="V203" t="str">
            <v>BDI 1</v>
          </cell>
        </row>
        <row r="204">
          <cell r="V204" t="str">
            <v>BDI 1</v>
          </cell>
        </row>
        <row r="205">
          <cell r="V205" t="str">
            <v>BDI 1</v>
          </cell>
        </row>
        <row r="206">
          <cell r="V206" t="str">
            <v>BDI 1</v>
          </cell>
        </row>
        <row r="207">
          <cell r="V207" t="str">
            <v>BDI 1</v>
          </cell>
        </row>
        <row r="208">
          <cell r="V208" t="str">
            <v>BDI 1</v>
          </cell>
        </row>
        <row r="209">
          <cell r="V209" t="str">
            <v>BDI 1</v>
          </cell>
        </row>
        <row r="210">
          <cell r="V210" t="str">
            <v>BDI 1</v>
          </cell>
        </row>
        <row r="211">
          <cell r="V211" t="str">
            <v>BDI 1</v>
          </cell>
        </row>
        <row r="212">
          <cell r="V212" t="str">
            <v>BDI 1</v>
          </cell>
        </row>
        <row r="213">
          <cell r="V213" t="str">
            <v>BDI 1</v>
          </cell>
        </row>
        <row r="214">
          <cell r="V214" t="str">
            <v>BDI 1</v>
          </cell>
        </row>
        <row r="215">
          <cell r="V215" t="str">
            <v>BDI 1</v>
          </cell>
        </row>
        <row r="216">
          <cell r="V216" t="str">
            <v>BDI 1</v>
          </cell>
        </row>
        <row r="217">
          <cell r="V217" t="str">
            <v>BDI 1</v>
          </cell>
        </row>
        <row r="218">
          <cell r="V218" t="str">
            <v>BDI 1</v>
          </cell>
        </row>
        <row r="219">
          <cell r="V219" t="str">
            <v>BDI 1</v>
          </cell>
        </row>
        <row r="220">
          <cell r="V220" t="str">
            <v>BDI 1</v>
          </cell>
        </row>
        <row r="221">
          <cell r="V221" t="str">
            <v>BDI 1</v>
          </cell>
        </row>
        <row r="222">
          <cell r="V222" t="str">
            <v>BDI 1</v>
          </cell>
        </row>
        <row r="223">
          <cell r="V223" t="str">
            <v>BDI 1</v>
          </cell>
        </row>
        <row r="224">
          <cell r="V224" t="str">
            <v>BDI 1</v>
          </cell>
        </row>
        <row r="225">
          <cell r="V225" t="str">
            <v>BDI 1</v>
          </cell>
        </row>
        <row r="226">
          <cell r="V226" t="str">
            <v>BDI 1</v>
          </cell>
        </row>
        <row r="227">
          <cell r="V227" t="str">
            <v>BDI 1</v>
          </cell>
        </row>
        <row r="228">
          <cell r="V228" t="str">
            <v>BDI 1</v>
          </cell>
        </row>
        <row r="229">
          <cell r="V229" t="str">
            <v>BDI 1</v>
          </cell>
        </row>
        <row r="230">
          <cell r="V230" t="str">
            <v>BDI 1</v>
          </cell>
        </row>
        <row r="231">
          <cell r="V231" t="str">
            <v>BDI 1</v>
          </cell>
        </row>
        <row r="232">
          <cell r="V232" t="str">
            <v>BDI 1</v>
          </cell>
        </row>
        <row r="233">
          <cell r="V233" t="str">
            <v>BDI 1</v>
          </cell>
        </row>
        <row r="234">
          <cell r="V234" t="str">
            <v>BDI 1</v>
          </cell>
        </row>
        <row r="235">
          <cell r="V235" t="str">
            <v>BDI 1</v>
          </cell>
        </row>
        <row r="236">
          <cell r="V236" t="str">
            <v>BDI 1</v>
          </cell>
        </row>
        <row r="237">
          <cell r="V237" t="str">
            <v>BDI 1</v>
          </cell>
        </row>
        <row r="238">
          <cell r="V238" t="str">
            <v>BDI 1</v>
          </cell>
        </row>
        <row r="239">
          <cell r="V239" t="str">
            <v>BDI 1</v>
          </cell>
        </row>
        <row r="240">
          <cell r="V240" t="str">
            <v>BDI 1</v>
          </cell>
        </row>
        <row r="241">
          <cell r="V241" t="str">
            <v>BDI 1</v>
          </cell>
        </row>
        <row r="242">
          <cell r="V242" t="str">
            <v>BDI 1</v>
          </cell>
        </row>
        <row r="243">
          <cell r="V243" t="str">
            <v>BDI 1</v>
          </cell>
        </row>
        <row r="244">
          <cell r="V244" t="str">
            <v>BDI 1</v>
          </cell>
        </row>
        <row r="245">
          <cell r="V245"/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camentária"/>
      <sheetName val="Memória de Cálculo"/>
      <sheetName val="Cronograma"/>
      <sheetName val="COTAÇÕES"/>
      <sheetName val="Composição 1"/>
      <sheetName val="BM-01"/>
      <sheetName val="BM-02"/>
      <sheetName val="BM-03"/>
      <sheetName val="BM-04"/>
      <sheetName val="BM-05 "/>
      <sheetName val="BM-0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J10"/>
        </row>
        <row r="14">
          <cell r="J14"/>
        </row>
        <row r="15">
          <cell r="J15"/>
        </row>
        <row r="18">
          <cell r="J18"/>
        </row>
      </sheetData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camentária"/>
      <sheetName val="Memória de Cálculo"/>
      <sheetName val="BDI"/>
      <sheetName val="Cronograma"/>
    </sheetNames>
    <sheetDataSet>
      <sheetData sheetId="0">
        <row r="44">
          <cell r="C44" t="str">
            <v>Priscila Cristina de Paula Neto</v>
          </cell>
        </row>
        <row r="46">
          <cell r="C46" t="str">
            <v>Engenheira Civil</v>
          </cell>
        </row>
        <row r="47">
          <cell r="C47" t="str">
            <v>CREA-MG Nº: 142702/D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1"/>
  <sheetViews>
    <sheetView showGridLines="0" showZeros="0" tabSelected="1" view="pageBreakPreview" topLeftCell="A14" zoomScale="85" zoomScaleSheetLayoutView="85" workbookViewId="0">
      <selection activeCell="H3" sqref="H3:I3"/>
    </sheetView>
  </sheetViews>
  <sheetFormatPr defaultColWidth="9.109375" defaultRowHeight="14.4"/>
  <cols>
    <col min="1" max="1" width="5.44140625" style="1" bestFit="1" customWidth="1"/>
    <col min="2" max="2" width="7.77734375" style="1" customWidth="1"/>
    <col min="3" max="3" width="10.6640625" style="1" bestFit="1" customWidth="1"/>
    <col min="4" max="4" width="84.77734375" style="1" customWidth="1"/>
    <col min="5" max="5" width="8.5546875" style="1" customWidth="1"/>
    <col min="6" max="6" width="12.33203125" style="1" customWidth="1"/>
    <col min="7" max="7" width="12.33203125" style="7" customWidth="1"/>
    <col min="8" max="8" width="12.33203125" style="1" customWidth="1"/>
    <col min="9" max="9" width="15.109375" style="1" bestFit="1" customWidth="1"/>
    <col min="10" max="10" width="19.88671875" style="1" customWidth="1"/>
    <col min="11" max="11" width="12.33203125" style="1" bestFit="1" customWidth="1"/>
    <col min="12" max="16384" width="9.109375" style="1"/>
  </cols>
  <sheetData>
    <row r="1" spans="1:10" s="2" customFormat="1" ht="20.100000000000001" customHeight="1">
      <c r="A1" s="262" t="s">
        <v>39</v>
      </c>
      <c r="B1" s="263"/>
      <c r="C1" s="264"/>
      <c r="D1" s="264"/>
      <c r="E1" s="264"/>
      <c r="F1" s="264"/>
      <c r="G1" s="264"/>
      <c r="H1" s="264"/>
      <c r="I1" s="265"/>
    </row>
    <row r="2" spans="1:10" s="2" customFormat="1" ht="20.100000000000001" customHeight="1">
      <c r="A2" s="268" t="s">
        <v>251</v>
      </c>
      <c r="B2" s="269"/>
      <c r="C2" s="269"/>
      <c r="D2" s="269"/>
      <c r="E2" s="270"/>
      <c r="F2" s="271" t="s">
        <v>37</v>
      </c>
      <c r="G2" s="272"/>
      <c r="H2" s="273" t="s">
        <v>114</v>
      </c>
      <c r="I2" s="274"/>
    </row>
    <row r="3" spans="1:10" s="2" customFormat="1" ht="20.100000000000001" customHeight="1">
      <c r="A3" s="241" t="s">
        <v>223</v>
      </c>
      <c r="B3" s="242"/>
      <c r="C3" s="242"/>
      <c r="D3" s="242"/>
      <c r="E3" s="243"/>
      <c r="F3" s="271" t="s">
        <v>34</v>
      </c>
      <c r="G3" s="272"/>
      <c r="H3" s="266">
        <f ca="1">TODAY()</f>
        <v>46202</v>
      </c>
      <c r="I3" s="267"/>
    </row>
    <row r="4" spans="1:10" s="2" customFormat="1" ht="30" customHeight="1">
      <c r="A4" s="249" t="s">
        <v>250</v>
      </c>
      <c r="B4" s="250"/>
      <c r="C4" s="250"/>
      <c r="D4" s="250"/>
      <c r="E4" s="250"/>
      <c r="F4" s="258" t="s">
        <v>6</v>
      </c>
      <c r="G4" s="258"/>
      <c r="H4" s="258"/>
      <c r="I4" s="258"/>
    </row>
    <row r="5" spans="1:10" s="2" customFormat="1" ht="19.95" customHeight="1">
      <c r="A5" s="251" t="s">
        <v>224</v>
      </c>
      <c r="B5" s="252"/>
      <c r="C5" s="252"/>
      <c r="D5" s="252"/>
      <c r="E5" s="253"/>
      <c r="F5" s="67" t="s">
        <v>32</v>
      </c>
      <c r="G5" s="30" t="s">
        <v>3</v>
      </c>
      <c r="H5" s="63" t="s">
        <v>51</v>
      </c>
      <c r="I5" s="29" t="s">
        <v>4</v>
      </c>
    </row>
    <row r="6" spans="1:10" s="2" customFormat="1" ht="30" customHeight="1">
      <c r="A6" s="259" t="s">
        <v>101</v>
      </c>
      <c r="B6" s="260"/>
      <c r="C6" s="260"/>
      <c r="D6" s="260"/>
      <c r="E6" s="261"/>
      <c r="F6" s="68" t="s">
        <v>46</v>
      </c>
      <c r="G6" s="84">
        <v>0.05</v>
      </c>
      <c r="H6" s="69" t="s">
        <v>45</v>
      </c>
      <c r="I6" s="157">
        <f>'COMPOSIÇÃO BDI'!J32</f>
        <v>0.25130000000000002</v>
      </c>
    </row>
    <row r="7" spans="1:10" ht="3.75" customHeight="1">
      <c r="A7" s="257"/>
      <c r="B7" s="257"/>
      <c r="C7" s="257"/>
      <c r="D7" s="257"/>
      <c r="E7" s="257"/>
      <c r="F7" s="257"/>
      <c r="G7" s="257"/>
      <c r="H7" s="257"/>
      <c r="I7" s="257"/>
    </row>
    <row r="8" spans="1:10" ht="36">
      <c r="A8" s="29" t="s">
        <v>0</v>
      </c>
      <c r="B8" s="29"/>
      <c r="C8" s="63" t="s">
        <v>47</v>
      </c>
      <c r="D8" s="63" t="s">
        <v>48</v>
      </c>
      <c r="E8" s="29" t="s">
        <v>2</v>
      </c>
      <c r="F8" s="29" t="s">
        <v>1</v>
      </c>
      <c r="G8" s="65" t="s">
        <v>49</v>
      </c>
      <c r="H8" s="64" t="s">
        <v>50</v>
      </c>
      <c r="I8" s="82" t="s">
        <v>5</v>
      </c>
    </row>
    <row r="9" spans="1:10" ht="20.100000000000001" customHeight="1">
      <c r="A9" s="55" t="s">
        <v>40</v>
      </c>
      <c r="B9" s="62"/>
      <c r="C9" s="56"/>
      <c r="D9" s="57" t="s">
        <v>16</v>
      </c>
      <c r="E9" s="58"/>
      <c r="F9" s="59"/>
      <c r="G9" s="59"/>
      <c r="H9" s="59">
        <f>ROUND(G9+(G9*$I$6),2)</f>
        <v>0</v>
      </c>
      <c r="I9" s="60">
        <f>SUM(I10:I10)</f>
        <v>2403.9899999999998</v>
      </c>
    </row>
    <row r="10" spans="1:10" ht="37.799999999999997" customHeight="1">
      <c r="A10" s="6" t="s">
        <v>8</v>
      </c>
      <c r="B10" s="125" t="s">
        <v>104</v>
      </c>
      <c r="C10" s="3">
        <v>103689</v>
      </c>
      <c r="D10" s="4" t="s">
        <v>172</v>
      </c>
      <c r="E10" s="6" t="s">
        <v>7</v>
      </c>
      <c r="F10" s="42">
        <f>'Memória de Cálculo'!C13</f>
        <v>5.120000000000001</v>
      </c>
      <c r="G10" s="5">
        <v>375.23</v>
      </c>
      <c r="H10" s="5">
        <f>ROUND(G10+(G10*$I$6),2)</f>
        <v>469.53</v>
      </c>
      <c r="I10" s="5">
        <f>ROUND((F10*H10),2)</f>
        <v>2403.9899999999998</v>
      </c>
    </row>
    <row r="11" spans="1:10">
      <c r="A11" s="77"/>
      <c r="B11" s="78"/>
      <c r="C11" s="78"/>
      <c r="D11" s="78"/>
      <c r="E11" s="78"/>
      <c r="F11" s="78"/>
      <c r="G11" s="78"/>
      <c r="H11" s="78"/>
      <c r="I11" s="79"/>
    </row>
    <row r="12" spans="1:10" ht="20.100000000000001" customHeight="1">
      <c r="A12" s="159"/>
      <c r="B12" s="160"/>
      <c r="C12" s="160"/>
      <c r="D12" s="161" t="s">
        <v>227</v>
      </c>
      <c r="E12" s="160"/>
      <c r="F12" s="162"/>
      <c r="G12" s="162"/>
      <c r="H12" s="162">
        <f t="shared" ref="H12" si="0">ROUND(G12+(G12*$I$6),2)</f>
        <v>0</v>
      </c>
      <c r="I12" s="163">
        <f>I13+I17</f>
        <v>85742.56</v>
      </c>
      <c r="J12" s="7"/>
    </row>
    <row r="13" spans="1:10" ht="20.100000000000001" customHeight="1">
      <c r="A13" s="55" t="s">
        <v>41</v>
      </c>
      <c r="B13" s="62"/>
      <c r="C13" s="62"/>
      <c r="D13" s="57" t="s">
        <v>33</v>
      </c>
      <c r="E13" s="62"/>
      <c r="F13" s="61"/>
      <c r="G13" s="61"/>
      <c r="H13" s="61">
        <f t="shared" ref="H13:H14" si="1">ROUND(G13+(G13*$I$6),2)</f>
        <v>0</v>
      </c>
      <c r="I13" s="60">
        <f>SUM(I14:I15)</f>
        <v>64712.159999999996</v>
      </c>
      <c r="J13" s="7"/>
    </row>
    <row r="14" spans="1:10" s="123" customFormat="1" ht="30" customHeight="1">
      <c r="A14" s="6" t="s">
        <v>9</v>
      </c>
      <c r="B14" s="125" t="s">
        <v>104</v>
      </c>
      <c r="C14" s="120">
        <v>100576</v>
      </c>
      <c r="D14" s="121" t="s">
        <v>246</v>
      </c>
      <c r="E14" s="120" t="s">
        <v>7</v>
      </c>
      <c r="F14" s="42">
        <f>'Memória de Cálculo'!D26</f>
        <v>504.00000000000006</v>
      </c>
      <c r="G14" s="5">
        <v>2.99</v>
      </c>
      <c r="H14" s="122">
        <f t="shared" si="1"/>
        <v>3.74</v>
      </c>
      <c r="I14" s="122">
        <f t="shared" ref="I14:I18" si="2">ROUND((F14*H14),2)</f>
        <v>1884.96</v>
      </c>
    </row>
    <row r="15" spans="1:10" s="123" customFormat="1" ht="30" customHeight="1">
      <c r="A15" s="6" t="s">
        <v>103</v>
      </c>
      <c r="B15" s="125" t="s">
        <v>104</v>
      </c>
      <c r="C15" s="120">
        <v>92394</v>
      </c>
      <c r="D15" s="121" t="s">
        <v>113</v>
      </c>
      <c r="E15" s="120" t="s">
        <v>7</v>
      </c>
      <c r="F15" s="42">
        <f>'Memória de Cálculo'!D35</f>
        <v>479.99999999999994</v>
      </c>
      <c r="G15" s="5">
        <v>104.6</v>
      </c>
      <c r="H15" s="122">
        <f t="shared" ref="H15:H18" si="3">ROUND(G15+(G15*$I$6),2)</f>
        <v>130.88999999999999</v>
      </c>
      <c r="I15" s="122">
        <f t="shared" si="2"/>
        <v>62827.199999999997</v>
      </c>
    </row>
    <row r="16" spans="1:10">
      <c r="A16" s="70"/>
      <c r="B16" s="73"/>
      <c r="C16" s="71"/>
      <c r="D16" s="72"/>
      <c r="E16" s="73"/>
      <c r="F16" s="74"/>
      <c r="G16" s="75"/>
      <c r="H16" s="75"/>
      <c r="I16" s="76"/>
    </row>
    <row r="17" spans="1:11" ht="16.5" customHeight="1">
      <c r="A17" s="55" t="s">
        <v>42</v>
      </c>
      <c r="B17" s="62"/>
      <c r="C17" s="62"/>
      <c r="D17" s="57" t="s">
        <v>43</v>
      </c>
      <c r="E17" s="62"/>
      <c r="F17" s="61"/>
      <c r="G17" s="61"/>
      <c r="H17" s="61">
        <f t="shared" si="3"/>
        <v>0</v>
      </c>
      <c r="I17" s="60">
        <f>SUM(I18:I18)</f>
        <v>21030.400000000001</v>
      </c>
    </row>
    <row r="18" spans="1:11" ht="40.049999999999997" customHeight="1">
      <c r="A18" s="6" t="s">
        <v>10</v>
      </c>
      <c r="B18" s="125" t="s">
        <v>104</v>
      </c>
      <c r="C18" s="3">
        <v>94273</v>
      </c>
      <c r="D18" s="4" t="s">
        <v>245</v>
      </c>
      <c r="E18" s="6" t="s">
        <v>11</v>
      </c>
      <c r="F18" s="42">
        <f>'Memória de Cálculo'!D47</f>
        <v>247.99999999999997</v>
      </c>
      <c r="G18" s="5">
        <v>67.77</v>
      </c>
      <c r="H18" s="5">
        <f t="shared" si="3"/>
        <v>84.8</v>
      </c>
      <c r="I18" s="5">
        <f t="shared" si="2"/>
        <v>21030.400000000001</v>
      </c>
      <c r="J18" s="7"/>
    </row>
    <row r="19" spans="1:11">
      <c r="A19" s="70"/>
      <c r="B19" s="73"/>
      <c r="C19" s="71"/>
      <c r="D19" s="72"/>
      <c r="E19" s="73"/>
      <c r="F19" s="74"/>
      <c r="G19" s="75"/>
      <c r="H19" s="75"/>
      <c r="I19" s="76"/>
      <c r="K19" s="85"/>
    </row>
    <row r="20" spans="1:11" ht="20.100000000000001" customHeight="1">
      <c r="A20" s="159"/>
      <c r="B20" s="160"/>
      <c r="C20" s="160"/>
      <c r="D20" s="161" t="s">
        <v>228</v>
      </c>
      <c r="E20" s="160"/>
      <c r="F20" s="162"/>
      <c r="G20" s="162"/>
      <c r="H20" s="162">
        <f t="shared" ref="H20" si="4">ROUND(G20+(G20*$I$6),2)</f>
        <v>0</v>
      </c>
      <c r="I20" s="163">
        <f>I21+I25</f>
        <v>85742.56</v>
      </c>
      <c r="J20" s="7"/>
    </row>
    <row r="21" spans="1:11" ht="20.100000000000001" customHeight="1">
      <c r="A21" s="55" t="s">
        <v>167</v>
      </c>
      <c r="B21" s="62"/>
      <c r="C21" s="62"/>
      <c r="D21" s="57" t="s">
        <v>33</v>
      </c>
      <c r="E21" s="62"/>
      <c r="F21" s="61"/>
      <c r="G21" s="61"/>
      <c r="H21" s="61">
        <f t="shared" ref="H21:H23" si="5">ROUND(G21+(G21*$I$6),2)</f>
        <v>0</v>
      </c>
      <c r="I21" s="60">
        <f>SUM(I22:I23)</f>
        <v>64712.159999999996</v>
      </c>
      <c r="J21" s="7"/>
    </row>
    <row r="22" spans="1:11" s="123" customFormat="1" ht="30" customHeight="1">
      <c r="A22" s="6" t="s">
        <v>168</v>
      </c>
      <c r="B22" s="125" t="s">
        <v>104</v>
      </c>
      <c r="C22" s="120">
        <v>100576</v>
      </c>
      <c r="D22" s="121" t="s">
        <v>246</v>
      </c>
      <c r="E22" s="120" t="s">
        <v>7</v>
      </c>
      <c r="F22" s="42">
        <f>'Memória de Cálculo'!D61</f>
        <v>504</v>
      </c>
      <c r="G22" s="5">
        <v>2.99</v>
      </c>
      <c r="H22" s="122">
        <f t="shared" si="5"/>
        <v>3.74</v>
      </c>
      <c r="I22" s="5">
        <f t="shared" ref="I22:I23" si="6">ROUND((F22*H22),2)</f>
        <v>1884.96</v>
      </c>
    </row>
    <row r="23" spans="1:11" s="123" customFormat="1" ht="30" customHeight="1">
      <c r="A23" s="6" t="s">
        <v>169</v>
      </c>
      <c r="B23" s="125" t="s">
        <v>104</v>
      </c>
      <c r="C23" s="120">
        <v>92394</v>
      </c>
      <c r="D23" s="121" t="s">
        <v>113</v>
      </c>
      <c r="E23" s="120" t="s">
        <v>7</v>
      </c>
      <c r="F23" s="42">
        <f>'Memória de Cálculo'!D71</f>
        <v>480.00000000000006</v>
      </c>
      <c r="G23" s="5">
        <v>104.6</v>
      </c>
      <c r="H23" s="122">
        <f t="shared" si="5"/>
        <v>130.88999999999999</v>
      </c>
      <c r="I23" s="122">
        <f t="shared" si="6"/>
        <v>62827.199999999997</v>
      </c>
    </row>
    <row r="24" spans="1:11">
      <c r="A24" s="70"/>
      <c r="B24" s="73"/>
      <c r="C24" s="71"/>
      <c r="D24" s="72"/>
      <c r="E24" s="73"/>
      <c r="F24" s="74"/>
      <c r="G24" s="75"/>
      <c r="H24" s="75"/>
      <c r="I24" s="76"/>
    </row>
    <row r="25" spans="1:11" ht="16.5" customHeight="1">
      <c r="A25" s="55" t="s">
        <v>170</v>
      </c>
      <c r="B25" s="62"/>
      <c r="C25" s="62"/>
      <c r="D25" s="57" t="s">
        <v>43</v>
      </c>
      <c r="E25" s="62"/>
      <c r="F25" s="61"/>
      <c r="G25" s="61"/>
      <c r="H25" s="61">
        <f t="shared" ref="H25:H26" si="7">ROUND(G25+(G25*$I$6),2)</f>
        <v>0</v>
      </c>
      <c r="I25" s="60">
        <f>SUM(I26:I26)</f>
        <v>21030.400000000001</v>
      </c>
    </row>
    <row r="26" spans="1:11" ht="40.049999999999997" customHeight="1">
      <c r="A26" s="6" t="s">
        <v>171</v>
      </c>
      <c r="B26" s="125" t="s">
        <v>104</v>
      </c>
      <c r="C26" s="3">
        <v>94273</v>
      </c>
      <c r="D26" s="4" t="s">
        <v>245</v>
      </c>
      <c r="E26" s="6" t="s">
        <v>11</v>
      </c>
      <c r="F26" s="42">
        <f>'Memória de Cálculo'!D84</f>
        <v>248.00000000000003</v>
      </c>
      <c r="G26" s="5">
        <v>67.77</v>
      </c>
      <c r="H26" s="5">
        <f t="shared" si="7"/>
        <v>84.8</v>
      </c>
      <c r="I26" s="5">
        <f t="shared" ref="I26" si="8">ROUND((F26*H26),2)</f>
        <v>21030.400000000001</v>
      </c>
    </row>
    <row r="27" spans="1:11">
      <c r="A27" s="70"/>
      <c r="B27" s="73"/>
      <c r="C27" s="71"/>
      <c r="D27" s="72"/>
      <c r="E27" s="73"/>
      <c r="F27" s="74"/>
      <c r="G27" s="75"/>
      <c r="H27" s="75"/>
      <c r="I27" s="76"/>
      <c r="K27" s="85"/>
    </row>
    <row r="28" spans="1:11" ht="20.100000000000001" customHeight="1">
      <c r="A28" s="159"/>
      <c r="B28" s="160"/>
      <c r="C28" s="160"/>
      <c r="D28" s="161" t="s">
        <v>229</v>
      </c>
      <c r="E28" s="160"/>
      <c r="F28" s="162"/>
      <c r="G28" s="162"/>
      <c r="H28" s="162">
        <f t="shared" ref="H28:H31" si="9">ROUND(G28+(G28*$I$6),2)</f>
        <v>0</v>
      </c>
      <c r="I28" s="163">
        <f>I29+I33</f>
        <v>85742.56</v>
      </c>
      <c r="J28" s="7"/>
    </row>
    <row r="29" spans="1:11" ht="20.100000000000001" customHeight="1">
      <c r="A29" s="55" t="s">
        <v>230</v>
      </c>
      <c r="B29" s="62"/>
      <c r="C29" s="62"/>
      <c r="D29" s="57" t="s">
        <v>33</v>
      </c>
      <c r="E29" s="62"/>
      <c r="F29" s="61"/>
      <c r="G29" s="61"/>
      <c r="H29" s="61">
        <f t="shared" si="9"/>
        <v>0</v>
      </c>
      <c r="I29" s="60">
        <f>SUM(I30:I31)</f>
        <v>64712.159999999996</v>
      </c>
      <c r="J29" s="7"/>
    </row>
    <row r="30" spans="1:11" s="123" customFormat="1" ht="30" customHeight="1">
      <c r="A30" s="6" t="s">
        <v>231</v>
      </c>
      <c r="B30" s="125" t="s">
        <v>104</v>
      </c>
      <c r="C30" s="120">
        <v>100576</v>
      </c>
      <c r="D30" s="121" t="s">
        <v>246</v>
      </c>
      <c r="E30" s="120" t="s">
        <v>7</v>
      </c>
      <c r="F30" s="42">
        <f>'Memória de Cálculo'!D97</f>
        <v>504.00000000000011</v>
      </c>
      <c r="G30" s="5">
        <v>2.99</v>
      </c>
      <c r="H30" s="122">
        <f t="shared" si="9"/>
        <v>3.74</v>
      </c>
      <c r="I30" s="5">
        <f t="shared" ref="I30:I31" si="10">ROUND((F30*H30),2)</f>
        <v>1884.96</v>
      </c>
    </row>
    <row r="31" spans="1:11" s="123" customFormat="1" ht="30" customHeight="1">
      <c r="A31" s="6" t="s">
        <v>234</v>
      </c>
      <c r="B31" s="125" t="s">
        <v>104</v>
      </c>
      <c r="C31" s="120">
        <v>92394</v>
      </c>
      <c r="D31" s="121" t="s">
        <v>113</v>
      </c>
      <c r="E31" s="120" t="s">
        <v>7</v>
      </c>
      <c r="F31" s="42">
        <f>'Memória de Cálculo'!D106</f>
        <v>480</v>
      </c>
      <c r="G31" s="5">
        <v>104.6</v>
      </c>
      <c r="H31" s="122">
        <f t="shared" si="9"/>
        <v>130.88999999999999</v>
      </c>
      <c r="I31" s="122">
        <f t="shared" si="10"/>
        <v>62827.199999999997</v>
      </c>
    </row>
    <row r="32" spans="1:11">
      <c r="A32" s="70"/>
      <c r="B32" s="73"/>
      <c r="C32" s="71"/>
      <c r="D32" s="72"/>
      <c r="E32" s="73"/>
      <c r="F32" s="74"/>
      <c r="G32" s="75"/>
      <c r="H32" s="75"/>
      <c r="I32" s="76"/>
    </row>
    <row r="33" spans="1:11" ht="16.5" customHeight="1">
      <c r="A33" s="55" t="s">
        <v>232</v>
      </c>
      <c r="B33" s="62"/>
      <c r="C33" s="62"/>
      <c r="D33" s="57" t="s">
        <v>43</v>
      </c>
      <c r="E33" s="62"/>
      <c r="F33" s="61"/>
      <c r="G33" s="61"/>
      <c r="H33" s="61">
        <f t="shared" ref="H33:H34" si="11">ROUND(G33+(G33*$I$6),2)</f>
        <v>0</v>
      </c>
      <c r="I33" s="60">
        <f>SUM(I34:I34)</f>
        <v>21030.400000000001</v>
      </c>
    </row>
    <row r="34" spans="1:11" ht="40.049999999999997" customHeight="1">
      <c r="A34" s="6" t="s">
        <v>233</v>
      </c>
      <c r="B34" s="125" t="s">
        <v>104</v>
      </c>
      <c r="C34" s="3">
        <v>94273</v>
      </c>
      <c r="D34" s="4" t="s">
        <v>245</v>
      </c>
      <c r="E34" s="6" t="s">
        <v>11</v>
      </c>
      <c r="F34" s="42">
        <f>'Memória de Cálculo'!D118</f>
        <v>248</v>
      </c>
      <c r="G34" s="5">
        <v>67.77</v>
      </c>
      <c r="H34" s="5">
        <f t="shared" si="11"/>
        <v>84.8</v>
      </c>
      <c r="I34" s="5">
        <f t="shared" ref="I34" si="12">ROUND((F34*H34),2)</f>
        <v>21030.400000000001</v>
      </c>
    </row>
    <row r="35" spans="1:11">
      <c r="A35" s="70"/>
      <c r="B35" s="73"/>
      <c r="C35" s="71"/>
      <c r="D35" s="72"/>
      <c r="E35" s="73"/>
      <c r="F35" s="74"/>
      <c r="G35" s="75"/>
      <c r="H35" s="75"/>
      <c r="I35" s="76"/>
      <c r="K35" s="85"/>
    </row>
    <row r="36" spans="1:11" ht="20.100000000000001" customHeight="1">
      <c r="A36" s="159"/>
      <c r="B36" s="160"/>
      <c r="C36" s="160"/>
      <c r="D36" s="161" t="s">
        <v>235</v>
      </c>
      <c r="E36" s="160"/>
      <c r="F36" s="162"/>
      <c r="G36" s="162"/>
      <c r="H36" s="162">
        <f t="shared" ref="H36:H39" si="13">ROUND(G36+(G36*$I$6),2)</f>
        <v>0</v>
      </c>
      <c r="I36" s="163">
        <f>I37+I41</f>
        <v>40375.01</v>
      </c>
      <c r="J36" s="7"/>
    </row>
    <row r="37" spans="1:11" ht="20.100000000000001" customHeight="1">
      <c r="A37" s="55" t="s">
        <v>236</v>
      </c>
      <c r="B37" s="62"/>
      <c r="C37" s="62"/>
      <c r="D37" s="57" t="s">
        <v>33</v>
      </c>
      <c r="E37" s="62"/>
      <c r="F37" s="61"/>
      <c r="G37" s="61"/>
      <c r="H37" s="61">
        <f t="shared" si="13"/>
        <v>0</v>
      </c>
      <c r="I37" s="60">
        <f>SUM(I38:I39)</f>
        <v>30199.010000000002</v>
      </c>
      <c r="J37" s="7"/>
    </row>
    <row r="38" spans="1:11" s="123" customFormat="1" ht="30" customHeight="1">
      <c r="A38" s="6" t="s">
        <v>237</v>
      </c>
      <c r="B38" s="125" t="s">
        <v>104</v>
      </c>
      <c r="C38" s="120">
        <v>100576</v>
      </c>
      <c r="D38" s="121" t="s">
        <v>246</v>
      </c>
      <c r="E38" s="120" t="s">
        <v>7</v>
      </c>
      <c r="F38" s="42">
        <f>'Memória de Cálculo'!D128</f>
        <v>235.2</v>
      </c>
      <c r="G38" s="5">
        <v>2.99</v>
      </c>
      <c r="H38" s="122">
        <f t="shared" si="13"/>
        <v>3.74</v>
      </c>
      <c r="I38" s="5">
        <f t="shared" ref="I38:I39" si="14">ROUND((F38*H38),2)</f>
        <v>879.65</v>
      </c>
    </row>
    <row r="39" spans="1:11" s="123" customFormat="1" ht="30" customHeight="1">
      <c r="A39" s="6" t="s">
        <v>240</v>
      </c>
      <c r="B39" s="125" t="s">
        <v>104</v>
      </c>
      <c r="C39" s="120">
        <v>92394</v>
      </c>
      <c r="D39" s="121" t="s">
        <v>113</v>
      </c>
      <c r="E39" s="120" t="s">
        <v>7</v>
      </c>
      <c r="F39" s="42">
        <f>'Memória de Cálculo'!D134</f>
        <v>224</v>
      </c>
      <c r="G39" s="5">
        <v>104.6</v>
      </c>
      <c r="H39" s="122">
        <f t="shared" si="13"/>
        <v>130.88999999999999</v>
      </c>
      <c r="I39" s="122">
        <f t="shared" si="14"/>
        <v>29319.360000000001</v>
      </c>
    </row>
    <row r="40" spans="1:11">
      <c r="A40" s="70"/>
      <c r="B40" s="73"/>
      <c r="C40" s="71"/>
      <c r="D40" s="72"/>
      <c r="E40" s="73"/>
      <c r="F40" s="74"/>
      <c r="G40" s="75"/>
      <c r="H40" s="75"/>
      <c r="I40" s="76"/>
    </row>
    <row r="41" spans="1:11" ht="16.5" customHeight="1">
      <c r="A41" s="55" t="s">
        <v>238</v>
      </c>
      <c r="B41" s="62"/>
      <c r="C41" s="62"/>
      <c r="D41" s="57" t="s">
        <v>43</v>
      </c>
      <c r="E41" s="62"/>
      <c r="F41" s="61"/>
      <c r="G41" s="61"/>
      <c r="H41" s="61">
        <f t="shared" ref="H41:H42" si="15">ROUND(G41+(G41*$I$6),2)</f>
        <v>0</v>
      </c>
      <c r="I41" s="60">
        <f>SUM(I42:I42)</f>
        <v>10176</v>
      </c>
    </row>
    <row r="42" spans="1:11" ht="40.049999999999997" customHeight="1">
      <c r="A42" s="6" t="s">
        <v>239</v>
      </c>
      <c r="B42" s="125" t="s">
        <v>104</v>
      </c>
      <c r="C42" s="3">
        <v>94273</v>
      </c>
      <c r="D42" s="4" t="s">
        <v>245</v>
      </c>
      <c r="E42" s="6" t="s">
        <v>11</v>
      </c>
      <c r="F42" s="42">
        <f>'Memória de Cálculo'!D143</f>
        <v>120</v>
      </c>
      <c r="G42" s="5">
        <v>67.77</v>
      </c>
      <c r="H42" s="5">
        <f t="shared" si="15"/>
        <v>84.8</v>
      </c>
      <c r="I42" s="5">
        <f t="shared" ref="I42" si="16">ROUND((F42*H42),2)</f>
        <v>10176</v>
      </c>
    </row>
    <row r="43" spans="1:11">
      <c r="A43" s="70"/>
      <c r="B43" s="73"/>
      <c r="C43" s="71"/>
      <c r="D43" s="72"/>
      <c r="E43" s="73"/>
      <c r="F43" s="74"/>
      <c r="G43" s="75"/>
      <c r="H43" s="75"/>
      <c r="I43" s="76"/>
      <c r="K43" s="85"/>
    </row>
    <row r="44" spans="1:11" ht="20.100000000000001" customHeight="1">
      <c r="A44" s="254" t="s">
        <v>12</v>
      </c>
      <c r="B44" s="255"/>
      <c r="C44" s="255"/>
      <c r="D44" s="255"/>
      <c r="E44" s="255"/>
      <c r="F44" s="255"/>
      <c r="G44" s="255"/>
      <c r="H44" s="256"/>
      <c r="I44" s="8">
        <f>I36+I28+I20+I12+I9</f>
        <v>300006.68</v>
      </c>
      <c r="J44" s="83"/>
      <c r="K44" s="7"/>
    </row>
    <row r="45" spans="1:11" ht="14.25" customHeight="1">
      <c r="A45" s="9"/>
      <c r="B45" s="10"/>
      <c r="C45" s="10"/>
      <c r="D45" s="10"/>
      <c r="E45" s="10"/>
      <c r="F45" s="10"/>
      <c r="G45" s="11"/>
      <c r="H45" s="10"/>
      <c r="I45" s="12"/>
      <c r="K45" s="13"/>
    </row>
    <row r="46" spans="1:11" ht="14.25" customHeight="1">
      <c r="A46" s="9"/>
      <c r="B46" s="10"/>
      <c r="C46" s="10"/>
      <c r="D46" s="10"/>
      <c r="E46" s="10"/>
      <c r="F46" s="10"/>
      <c r="G46" s="11"/>
      <c r="H46" s="10"/>
      <c r="I46" s="12"/>
      <c r="K46" s="13"/>
    </row>
    <row r="47" spans="1:11" ht="14.25" customHeight="1">
      <c r="A47" s="9"/>
      <c r="B47" s="10"/>
      <c r="C47" s="10"/>
      <c r="D47" s="10"/>
      <c r="E47" s="10"/>
      <c r="F47" s="10"/>
      <c r="G47" s="11"/>
      <c r="H47" s="10"/>
      <c r="I47" s="12"/>
      <c r="K47" s="13"/>
    </row>
    <row r="48" spans="1:11" ht="14.25" customHeight="1">
      <c r="A48" s="9"/>
      <c r="B48" s="10"/>
      <c r="C48" s="10"/>
      <c r="D48" s="10"/>
      <c r="E48" s="10"/>
      <c r="F48" s="10"/>
      <c r="G48" s="11"/>
      <c r="H48" s="10"/>
      <c r="I48" s="12"/>
      <c r="K48" s="13"/>
    </row>
    <row r="49" spans="1:11" ht="11.25" customHeight="1">
      <c r="A49" s="14"/>
      <c r="B49" s="15"/>
      <c r="C49" s="15"/>
      <c r="D49" s="15"/>
      <c r="E49" s="15"/>
      <c r="F49" s="15"/>
      <c r="G49" s="16"/>
      <c r="H49" s="15"/>
      <c r="I49" s="17"/>
    </row>
    <row r="50" spans="1:11" ht="11.25" customHeight="1">
      <c r="A50" s="14"/>
      <c r="B50" s="15"/>
      <c r="C50" s="247"/>
      <c r="D50" s="247"/>
      <c r="E50" s="15"/>
      <c r="F50" s="247"/>
      <c r="G50" s="247"/>
      <c r="H50" s="81"/>
      <c r="I50" s="17"/>
      <c r="K50" s="83"/>
    </row>
    <row r="51" spans="1:11">
      <c r="A51" s="14"/>
      <c r="B51" s="15"/>
      <c r="C51" s="248" t="s">
        <v>35</v>
      </c>
      <c r="D51" s="248"/>
      <c r="E51" s="15"/>
      <c r="F51" s="244" t="s">
        <v>54</v>
      </c>
      <c r="G51" s="244"/>
      <c r="H51" s="81"/>
      <c r="I51" s="17"/>
    </row>
    <row r="52" spans="1:11" ht="14.4" hidden="1" customHeight="1">
      <c r="A52" s="18"/>
      <c r="B52" s="19"/>
      <c r="C52" s="19"/>
      <c r="D52" s="19"/>
      <c r="E52" s="19"/>
      <c r="F52" s="19"/>
      <c r="G52" s="20"/>
      <c r="H52" s="19"/>
      <c r="I52" s="21"/>
    </row>
    <row r="53" spans="1:11">
      <c r="A53" s="18"/>
      <c r="B53" s="19"/>
      <c r="C53" s="240" t="s">
        <v>36</v>
      </c>
      <c r="D53" s="240"/>
      <c r="E53" s="19"/>
      <c r="F53" s="19"/>
      <c r="G53" s="20"/>
      <c r="H53" s="19"/>
      <c r="I53" s="21"/>
    </row>
    <row r="54" spans="1:11">
      <c r="A54" s="18"/>
      <c r="B54" s="19"/>
      <c r="C54" s="164"/>
      <c r="D54" s="164"/>
      <c r="E54" s="19"/>
      <c r="F54" s="19"/>
      <c r="G54" s="20"/>
      <c r="H54" s="19"/>
      <c r="I54" s="21"/>
    </row>
    <row r="55" spans="1:11">
      <c r="A55" s="18"/>
      <c r="B55" s="19"/>
      <c r="C55" s="164"/>
      <c r="D55" s="164"/>
      <c r="E55" s="19"/>
      <c r="F55" s="19"/>
      <c r="G55" s="20"/>
      <c r="H55" s="19"/>
      <c r="I55" s="21"/>
    </row>
    <row r="56" spans="1:11">
      <c r="A56" s="18"/>
      <c r="B56" s="19"/>
      <c r="C56" s="164"/>
      <c r="D56" s="164"/>
      <c r="E56" s="19"/>
      <c r="F56" s="19"/>
      <c r="G56" s="20"/>
      <c r="H56" s="19"/>
      <c r="I56" s="21"/>
    </row>
    <row r="57" spans="1:11">
      <c r="A57" s="18"/>
      <c r="B57" s="19"/>
      <c r="C57" s="19"/>
      <c r="D57" s="19"/>
      <c r="E57" s="19"/>
      <c r="F57" s="19"/>
      <c r="G57" s="20"/>
      <c r="H57" s="19"/>
      <c r="I57" s="21"/>
    </row>
    <row r="58" spans="1:11" ht="11.25" customHeight="1">
      <c r="A58" s="14"/>
      <c r="B58" s="15"/>
      <c r="C58" s="247"/>
      <c r="D58" s="247"/>
      <c r="E58" s="15"/>
      <c r="F58" s="244"/>
      <c r="G58" s="244"/>
      <c r="H58" s="81"/>
      <c r="I58" s="17"/>
    </row>
    <row r="59" spans="1:11" ht="12.6" customHeight="1">
      <c r="A59" s="22"/>
      <c r="B59" s="23"/>
      <c r="C59" s="245" t="s">
        <v>248</v>
      </c>
      <c r="D59" s="245"/>
      <c r="E59" s="23"/>
      <c r="F59" s="246"/>
      <c r="G59" s="246"/>
      <c r="H59" s="80"/>
      <c r="I59" s="24"/>
    </row>
    <row r="60" spans="1:11" ht="12" customHeight="1">
      <c r="A60" s="18"/>
      <c r="B60" s="19"/>
      <c r="C60" s="240" t="s">
        <v>249</v>
      </c>
      <c r="D60" s="240"/>
      <c r="E60" s="19"/>
      <c r="F60" s="19"/>
      <c r="G60" s="20"/>
      <c r="H60" s="19"/>
      <c r="I60" s="21"/>
    </row>
    <row r="61" spans="1:11">
      <c r="A61" s="25"/>
      <c r="B61" s="26"/>
      <c r="C61" s="26"/>
      <c r="D61" s="26"/>
      <c r="E61" s="26"/>
      <c r="F61" s="26"/>
      <c r="G61" s="27"/>
      <c r="H61" s="26"/>
      <c r="I61" s="28"/>
    </row>
  </sheetData>
  <mergeCells count="23">
    <mergeCell ref="A6:E6"/>
    <mergeCell ref="A1:I1"/>
    <mergeCell ref="H3:I3"/>
    <mergeCell ref="A2:E2"/>
    <mergeCell ref="F2:G2"/>
    <mergeCell ref="H2:I2"/>
    <mergeCell ref="F3:G3"/>
    <mergeCell ref="C53:D53"/>
    <mergeCell ref="A3:E3"/>
    <mergeCell ref="C60:D60"/>
    <mergeCell ref="F58:G58"/>
    <mergeCell ref="C59:D59"/>
    <mergeCell ref="F59:G59"/>
    <mergeCell ref="C58:D58"/>
    <mergeCell ref="C51:D51"/>
    <mergeCell ref="F51:G51"/>
    <mergeCell ref="F50:G50"/>
    <mergeCell ref="C50:D50"/>
    <mergeCell ref="A4:E4"/>
    <mergeCell ref="A5:E5"/>
    <mergeCell ref="A44:H44"/>
    <mergeCell ref="A7:I7"/>
    <mergeCell ref="F4:I4"/>
  </mergeCells>
  <phoneticPr fontId="4" type="noConversion"/>
  <printOptions horizontalCentered="1"/>
  <pageMargins left="0" right="0" top="0.39370078740157483" bottom="0" header="0" footer="0"/>
  <pageSetup paperSize="9" scale="58" orientation="portrait" horizontalDpi="4294967295" r:id="rId1"/>
  <headerFooter alignWithMargins="0"/>
  <rowBreaks count="1" manualBreakCount="1">
    <brk id="2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26F6-0162-4E5C-969F-EEE74F983C52}">
  <sheetPr>
    <pageSetUpPr fitToPage="1"/>
  </sheetPr>
  <dimension ref="A1:Q29"/>
  <sheetViews>
    <sheetView view="pageBreakPreview" zoomScaleNormal="100" zoomScaleSheetLayoutView="100" workbookViewId="0">
      <selection activeCell="A8" sqref="A8:A9"/>
    </sheetView>
  </sheetViews>
  <sheetFormatPr defaultRowHeight="13.2"/>
  <cols>
    <col min="4" max="4" width="51.21875" customWidth="1"/>
    <col min="5" max="6" width="5.77734375" customWidth="1"/>
    <col min="7" max="7" width="8.88671875" customWidth="1"/>
    <col min="8" max="10" width="10.77734375" customWidth="1"/>
    <col min="13" max="13" width="15.88671875" customWidth="1"/>
  </cols>
  <sheetData>
    <row r="1" spans="1:17" ht="15.6">
      <c r="A1" s="400" t="s">
        <v>118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2"/>
    </row>
    <row r="2" spans="1:17" ht="19.95" customHeight="1">
      <c r="A2" s="403" t="s">
        <v>119</v>
      </c>
      <c r="B2" s="404"/>
      <c r="C2" s="404"/>
      <c r="D2" s="404"/>
      <c r="E2" s="407" t="s">
        <v>120</v>
      </c>
      <c r="F2" s="408"/>
      <c r="G2" s="409"/>
      <c r="H2" s="410" t="s">
        <v>121</v>
      </c>
      <c r="I2" s="411"/>
      <c r="J2" s="412" t="s">
        <v>122</v>
      </c>
      <c r="K2" s="412"/>
      <c r="L2" s="412"/>
      <c r="M2" s="295" t="s">
        <v>123</v>
      </c>
      <c r="N2" s="296"/>
      <c r="O2" s="296"/>
      <c r="P2" s="126" t="s">
        <v>124</v>
      </c>
      <c r="Q2" s="127"/>
    </row>
    <row r="3" spans="1:17" ht="19.95" customHeight="1">
      <c r="A3" s="405"/>
      <c r="B3" s="406"/>
      <c r="C3" s="406"/>
      <c r="D3" s="406"/>
      <c r="E3" s="413" t="s">
        <v>126</v>
      </c>
      <c r="F3" s="414"/>
      <c r="G3" s="415"/>
      <c r="H3" s="383" t="s">
        <v>141</v>
      </c>
      <c r="I3" s="416"/>
      <c r="J3" s="417" t="s">
        <v>125</v>
      </c>
      <c r="K3" s="417"/>
      <c r="L3" s="417"/>
      <c r="M3" s="381" t="s">
        <v>126</v>
      </c>
      <c r="N3" s="417"/>
      <c r="O3" s="417"/>
      <c r="P3" s="381" t="s">
        <v>126</v>
      </c>
      <c r="Q3" s="382"/>
    </row>
    <row r="4" spans="1:17">
      <c r="A4" s="385" t="s">
        <v>156</v>
      </c>
      <c r="B4" s="386"/>
      <c r="C4" s="386"/>
      <c r="D4" s="387"/>
      <c r="E4" s="375" t="s">
        <v>162</v>
      </c>
      <c r="F4" s="375"/>
      <c r="G4" s="375"/>
      <c r="H4" s="388" t="s">
        <v>127</v>
      </c>
      <c r="I4" s="389"/>
      <c r="J4" s="392" t="s">
        <v>160</v>
      </c>
      <c r="K4" s="393"/>
      <c r="L4" s="393"/>
      <c r="M4" s="393"/>
      <c r="N4" s="393"/>
      <c r="O4" s="394"/>
      <c r="P4" s="383"/>
      <c r="Q4" s="384"/>
    </row>
    <row r="5" spans="1:17" ht="30.6" customHeight="1">
      <c r="A5" s="395" t="s">
        <v>157</v>
      </c>
      <c r="B5" s="396"/>
      <c r="C5" s="396"/>
      <c r="D5" s="397"/>
      <c r="E5" s="375"/>
      <c r="F5" s="375"/>
      <c r="G5" s="375"/>
      <c r="H5" s="390"/>
      <c r="I5" s="391"/>
      <c r="J5" s="398" t="s">
        <v>161</v>
      </c>
      <c r="K5" s="398"/>
      <c r="L5" s="398"/>
      <c r="M5" s="398"/>
      <c r="N5" s="398"/>
      <c r="O5" s="398"/>
      <c r="P5" s="398"/>
      <c r="Q5" s="399"/>
    </row>
    <row r="6" spans="1:17">
      <c r="A6" s="371" t="s">
        <v>142</v>
      </c>
      <c r="B6" s="372"/>
      <c r="C6" s="372"/>
      <c r="D6" s="372"/>
      <c r="E6" s="375" t="s">
        <v>158</v>
      </c>
      <c r="F6" s="375"/>
      <c r="G6" s="375"/>
      <c r="H6" s="377" t="s">
        <v>159</v>
      </c>
      <c r="I6" s="378"/>
      <c r="J6" s="358" t="s">
        <v>128</v>
      </c>
      <c r="K6" s="358"/>
      <c r="L6" s="358" t="s">
        <v>129</v>
      </c>
      <c r="M6" s="358"/>
      <c r="N6" s="358" t="s">
        <v>130</v>
      </c>
      <c r="O6" s="358"/>
      <c r="P6" s="358" t="s">
        <v>131</v>
      </c>
      <c r="Q6" s="359"/>
    </row>
    <row r="7" spans="1:17">
      <c r="A7" s="373"/>
      <c r="B7" s="374"/>
      <c r="C7" s="374"/>
      <c r="D7" s="374"/>
      <c r="E7" s="376"/>
      <c r="F7" s="376"/>
      <c r="G7" s="376"/>
      <c r="H7" s="379"/>
      <c r="I7" s="380"/>
      <c r="J7" s="360">
        <v>172730.36</v>
      </c>
      <c r="K7" s="361"/>
      <c r="L7" s="362">
        <f>J7</f>
        <v>172730.36</v>
      </c>
      <c r="M7" s="363"/>
      <c r="N7" s="364" t="e">
        <f>O25</f>
        <v>#REF!</v>
      </c>
      <c r="O7" s="365"/>
      <c r="P7" s="366" t="e">
        <f>L7-N7</f>
        <v>#REF!</v>
      </c>
      <c r="Q7" s="367"/>
    </row>
    <row r="8" spans="1:17">
      <c r="A8" s="368" t="s">
        <v>0</v>
      </c>
      <c r="B8" s="368" t="s">
        <v>132</v>
      </c>
      <c r="C8" s="369"/>
      <c r="D8" s="370"/>
      <c r="E8" s="369" t="s">
        <v>133</v>
      </c>
      <c r="F8" s="369"/>
      <c r="G8" s="369"/>
      <c r="H8" s="357" t="s">
        <v>134</v>
      </c>
      <c r="I8" s="357"/>
      <c r="J8" s="357"/>
      <c r="K8" s="369" t="s">
        <v>111</v>
      </c>
      <c r="L8" s="369"/>
      <c r="M8" s="352" t="s">
        <v>135</v>
      </c>
      <c r="N8" s="353" t="s">
        <v>136</v>
      </c>
      <c r="O8" s="353"/>
      <c r="P8" s="353"/>
      <c r="Q8" s="353"/>
    </row>
    <row r="9" spans="1:17" ht="30" customHeight="1">
      <c r="A9" s="354"/>
      <c r="B9" s="354"/>
      <c r="C9" s="355"/>
      <c r="D9" s="356"/>
      <c r="E9" s="354" t="s">
        <v>137</v>
      </c>
      <c r="F9" s="355"/>
      <c r="G9" s="356"/>
      <c r="H9" s="146" t="s">
        <v>138</v>
      </c>
      <c r="I9" s="146" t="s">
        <v>139</v>
      </c>
      <c r="J9" s="146" t="s">
        <v>140</v>
      </c>
      <c r="K9" s="355"/>
      <c r="L9" s="355"/>
      <c r="M9" s="352"/>
      <c r="N9" s="357" t="s">
        <v>139</v>
      </c>
      <c r="O9" s="357"/>
      <c r="P9" s="357" t="s">
        <v>140</v>
      </c>
      <c r="Q9" s="357"/>
    </row>
    <row r="10" spans="1:17" ht="19.95" customHeight="1">
      <c r="A10" s="151" t="s">
        <v>40</v>
      </c>
      <c r="B10" s="348" t="s">
        <v>16</v>
      </c>
      <c r="C10" s="348"/>
      <c r="D10" s="348"/>
      <c r="E10" s="129"/>
      <c r="F10" s="129"/>
      <c r="G10" s="129"/>
      <c r="H10" s="129"/>
      <c r="I10" s="129"/>
      <c r="J10" s="129"/>
      <c r="K10" s="129"/>
      <c r="L10" s="129"/>
      <c r="M10" s="129"/>
      <c r="N10" s="346" t="e">
        <f>SUM(N11:O13)</f>
        <v>#REF!</v>
      </c>
      <c r="O10" s="346"/>
      <c r="P10" s="346" t="e">
        <f>SUM(P11:Q13)</f>
        <v>#REF!</v>
      </c>
      <c r="Q10" s="347"/>
    </row>
    <row r="11" spans="1:17" ht="60" customHeight="1">
      <c r="A11" s="132" t="s">
        <v>8</v>
      </c>
      <c r="B11" s="333" t="s">
        <v>61</v>
      </c>
      <c r="C11" s="333"/>
      <c r="D11" s="333"/>
      <c r="E11" s="350">
        <f>'Planilha Orcamentária'!F10</f>
        <v>5.120000000000001</v>
      </c>
      <c r="F11" s="350"/>
      <c r="G11" s="350"/>
      <c r="H11" s="128">
        <f>'[4]BM-03'!J10</f>
        <v>0</v>
      </c>
      <c r="I11" s="128">
        <f>E11</f>
        <v>5.120000000000001</v>
      </c>
      <c r="J11" s="128">
        <f>H11+I11</f>
        <v>5.120000000000001</v>
      </c>
      <c r="K11" s="351" t="s">
        <v>13</v>
      </c>
      <c r="L11" s="351"/>
      <c r="M11" s="5">
        <v>1301.68</v>
      </c>
      <c r="N11" s="340">
        <f>I11*M11</f>
        <v>6664.6016000000018</v>
      </c>
      <c r="O11" s="341"/>
      <c r="P11" s="340">
        <f>N11</f>
        <v>6664.6016000000018</v>
      </c>
      <c r="Q11" s="342"/>
    </row>
    <row r="12" spans="1:17" ht="60" customHeight="1">
      <c r="A12" s="132" t="s">
        <v>106</v>
      </c>
      <c r="B12" s="333" t="s">
        <v>107</v>
      </c>
      <c r="C12" s="333"/>
      <c r="D12" s="333"/>
      <c r="E12" s="350" t="e">
        <f>'Planilha Orcamentária'!#REF!</f>
        <v>#REF!</v>
      </c>
      <c r="F12" s="350"/>
      <c r="G12" s="350"/>
      <c r="H12" s="128">
        <v>0</v>
      </c>
      <c r="I12" s="128">
        <v>1</v>
      </c>
      <c r="J12" s="128">
        <f t="shared" ref="J12:J13" si="0">H12+I12</f>
        <v>1</v>
      </c>
      <c r="K12" s="351" t="s">
        <v>108</v>
      </c>
      <c r="L12" s="351"/>
      <c r="M12" s="5">
        <v>794.01199999999994</v>
      </c>
      <c r="N12" s="340">
        <f t="shared" ref="N12" si="1">I12*M12</f>
        <v>794.01199999999994</v>
      </c>
      <c r="O12" s="349"/>
      <c r="P12" s="340">
        <f t="shared" ref="P12:P13" si="2">N12</f>
        <v>794.01199999999994</v>
      </c>
      <c r="Q12" s="342"/>
    </row>
    <row r="13" spans="1:17" ht="40.049999999999997" customHeight="1">
      <c r="A13" s="132" t="s">
        <v>109</v>
      </c>
      <c r="B13" s="333" t="s">
        <v>110</v>
      </c>
      <c r="C13" s="333"/>
      <c r="D13" s="333"/>
      <c r="E13" s="350" t="e">
        <f>'Planilha Orcamentária'!#REF!</f>
        <v>#REF!</v>
      </c>
      <c r="F13" s="350"/>
      <c r="G13" s="350"/>
      <c r="H13" s="128">
        <v>0</v>
      </c>
      <c r="I13" s="128" t="e">
        <f>E13</f>
        <v>#REF!</v>
      </c>
      <c r="J13" s="128" t="e">
        <f t="shared" si="0"/>
        <v>#REF!</v>
      </c>
      <c r="K13" s="351" t="s">
        <v>111</v>
      </c>
      <c r="L13" s="351"/>
      <c r="M13" s="5">
        <v>294.31</v>
      </c>
      <c r="N13" s="340" t="e">
        <f>I13*M13</f>
        <v>#REF!</v>
      </c>
      <c r="O13" s="349"/>
      <c r="P13" s="340" t="e">
        <f t="shared" si="2"/>
        <v>#REF!</v>
      </c>
      <c r="Q13" s="342"/>
    </row>
    <row r="14" spans="1:17" ht="19.95" customHeight="1">
      <c r="A14" s="131" t="s">
        <v>41</v>
      </c>
      <c r="B14" s="330" t="s">
        <v>33</v>
      </c>
      <c r="C14" s="330"/>
      <c r="D14" s="330"/>
      <c r="E14" s="130"/>
      <c r="F14" s="130"/>
      <c r="G14" s="130"/>
      <c r="H14" s="130"/>
      <c r="I14" s="130"/>
      <c r="J14" s="130"/>
      <c r="K14" s="130"/>
      <c r="L14" s="130"/>
      <c r="M14" s="130"/>
      <c r="N14" s="331">
        <f>SUM(N15:O16)</f>
        <v>53291.017927200002</v>
      </c>
      <c r="O14" s="331"/>
      <c r="P14" s="331">
        <f>SUM(P15:Q16)</f>
        <v>53291.017927200002</v>
      </c>
      <c r="Q14" s="332"/>
    </row>
    <row r="15" spans="1:17" ht="40.049999999999997" customHeight="1">
      <c r="A15" s="132" t="s">
        <v>9</v>
      </c>
      <c r="B15" s="333" t="s">
        <v>112</v>
      </c>
      <c r="C15" s="333"/>
      <c r="D15" s="333"/>
      <c r="E15" s="335">
        <f>'Planilha Orcamentária'!F14</f>
        <v>504.00000000000006</v>
      </c>
      <c r="F15" s="336"/>
      <c r="G15" s="337"/>
      <c r="H15" s="128">
        <f>'[4]BM-03'!J14</f>
        <v>0</v>
      </c>
      <c r="I15" s="128">
        <f>115*6</f>
        <v>690</v>
      </c>
      <c r="J15" s="128">
        <f>H15+I15</f>
        <v>690</v>
      </c>
      <c r="K15" s="338" t="s">
        <v>7</v>
      </c>
      <c r="L15" s="339"/>
      <c r="M15" s="5">
        <v>4.8425599999999998</v>
      </c>
      <c r="N15" s="340">
        <f>I15*M15</f>
        <v>3341.3663999999999</v>
      </c>
      <c r="O15" s="341"/>
      <c r="P15" s="340">
        <f>N15</f>
        <v>3341.3663999999999</v>
      </c>
      <c r="Q15" s="342"/>
    </row>
    <row r="16" spans="1:17" ht="40.049999999999997" customHeight="1">
      <c r="A16" s="132" t="s">
        <v>103</v>
      </c>
      <c r="B16" s="333" t="s">
        <v>113</v>
      </c>
      <c r="C16" s="333"/>
      <c r="D16" s="333"/>
      <c r="E16" s="335">
        <f>'Planilha Orcamentária'!F15</f>
        <v>479.99999999999994</v>
      </c>
      <c r="F16" s="336"/>
      <c r="G16" s="337"/>
      <c r="H16" s="128">
        <f>'[4]BM-03'!J15</f>
        <v>0</v>
      </c>
      <c r="I16" s="128">
        <f>115*5.4+5.4</f>
        <v>626.4</v>
      </c>
      <c r="J16" s="128">
        <f>H16+I16</f>
        <v>626.4</v>
      </c>
      <c r="K16" s="338" t="s">
        <v>7</v>
      </c>
      <c r="L16" s="339"/>
      <c r="M16" s="5">
        <v>79.740823000000006</v>
      </c>
      <c r="N16" s="340">
        <f>I16*M16</f>
        <v>49949.651527200003</v>
      </c>
      <c r="O16" s="341"/>
      <c r="P16" s="340">
        <f>N16</f>
        <v>49949.651527200003</v>
      </c>
      <c r="Q16" s="342"/>
    </row>
    <row r="17" spans="1:17" ht="19.95" customHeight="1">
      <c r="A17" s="131" t="s">
        <v>42</v>
      </c>
      <c r="B17" s="330" t="s">
        <v>43</v>
      </c>
      <c r="C17" s="330"/>
      <c r="D17" s="330"/>
      <c r="E17" s="130"/>
      <c r="F17" s="130"/>
      <c r="G17" s="130"/>
      <c r="H17" s="130"/>
      <c r="I17" s="130"/>
      <c r="J17" s="130"/>
      <c r="K17" s="130"/>
      <c r="L17" s="130"/>
      <c r="M17" s="130"/>
      <c r="N17" s="331">
        <f>SUM(N18:O19)</f>
        <v>21623.165251999999</v>
      </c>
      <c r="O17" s="331"/>
      <c r="P17" s="331">
        <f>SUM(P18:Q19)</f>
        <v>21623.165251999999</v>
      </c>
      <c r="Q17" s="332"/>
    </row>
    <row r="18" spans="1:17" ht="40.049999999999997" customHeight="1">
      <c r="A18" s="132" t="s">
        <v>10</v>
      </c>
      <c r="B18" s="333" t="s">
        <v>52</v>
      </c>
      <c r="C18" s="333"/>
      <c r="D18" s="333"/>
      <c r="E18" s="335">
        <f>'Planilha Orcamentária'!F18</f>
        <v>247.99999999999997</v>
      </c>
      <c r="F18" s="336"/>
      <c r="G18" s="337"/>
      <c r="H18" s="128">
        <v>0</v>
      </c>
      <c r="I18" s="128">
        <f>115*2+5.4</f>
        <v>235.4</v>
      </c>
      <c r="J18" s="128">
        <f>H18+I18</f>
        <v>235.4</v>
      </c>
      <c r="K18" s="338" t="s">
        <v>11</v>
      </c>
      <c r="L18" s="339"/>
      <c r="M18" s="5">
        <v>59.568379999999998</v>
      </c>
      <c r="N18" s="340">
        <f>I18*M18</f>
        <v>14022.396651999999</v>
      </c>
      <c r="O18" s="341"/>
      <c r="P18" s="340">
        <f>N18</f>
        <v>14022.396651999999</v>
      </c>
      <c r="Q18" s="342"/>
    </row>
    <row r="19" spans="1:17" ht="40.049999999999997" customHeight="1" thickBot="1">
      <c r="A19" s="133" t="s">
        <v>21</v>
      </c>
      <c r="B19" s="334" t="s">
        <v>105</v>
      </c>
      <c r="C19" s="334"/>
      <c r="D19" s="334"/>
      <c r="E19" s="343" t="e">
        <f>'Planilha Orcamentária'!#REF!</f>
        <v>#REF!</v>
      </c>
      <c r="F19" s="344"/>
      <c r="G19" s="345"/>
      <c r="H19" s="134">
        <f>'[4]BM-03'!J18</f>
        <v>0</v>
      </c>
      <c r="I19" s="134">
        <f>115*2</f>
        <v>230</v>
      </c>
      <c r="J19" s="134">
        <f>H19+I19</f>
        <v>230</v>
      </c>
      <c r="K19" s="310" t="s">
        <v>11</v>
      </c>
      <c r="L19" s="311"/>
      <c r="M19" s="135">
        <v>33.046819999999997</v>
      </c>
      <c r="N19" s="312">
        <f>I19*M19</f>
        <v>7600.7685999999994</v>
      </c>
      <c r="O19" s="313"/>
      <c r="P19" s="312">
        <f>N19</f>
        <v>7600.7685999999994</v>
      </c>
      <c r="Q19" s="314"/>
    </row>
    <row r="20" spans="1:17" ht="4.95" customHeight="1" thickBot="1">
      <c r="A20" s="143"/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5"/>
    </row>
    <row r="21" spans="1:17">
      <c r="A21" s="315" t="s">
        <v>143</v>
      </c>
      <c r="B21" s="316"/>
      <c r="C21" s="316"/>
      <c r="D21" s="316"/>
      <c r="E21" s="316"/>
      <c r="F21" s="316"/>
      <c r="G21" s="316"/>
      <c r="H21" s="316"/>
      <c r="I21" s="317"/>
      <c r="J21" s="321" t="s">
        <v>144</v>
      </c>
      <c r="K21" s="321"/>
      <c r="L21" s="321"/>
      <c r="M21" s="321"/>
      <c r="N21" s="323" t="s">
        <v>145</v>
      </c>
      <c r="O21" s="324"/>
      <c r="P21" s="325" t="e">
        <f>N17+N14+N10</f>
        <v>#REF!</v>
      </c>
      <c r="Q21" s="326"/>
    </row>
    <row r="22" spans="1:17">
      <c r="A22" s="318"/>
      <c r="B22" s="319"/>
      <c r="C22" s="319"/>
      <c r="D22" s="319"/>
      <c r="E22" s="319"/>
      <c r="F22" s="319"/>
      <c r="G22" s="319"/>
      <c r="H22" s="319"/>
      <c r="I22" s="320"/>
      <c r="J22" s="322"/>
      <c r="K22" s="322"/>
      <c r="L22" s="322"/>
      <c r="M22" s="322"/>
      <c r="N22" s="327" t="s">
        <v>146</v>
      </c>
      <c r="O22" s="328"/>
      <c r="P22" s="328"/>
      <c r="Q22" s="329"/>
    </row>
    <row r="23" spans="1:17">
      <c r="A23" s="293" t="s">
        <v>147</v>
      </c>
      <c r="B23" s="294"/>
      <c r="C23" s="294"/>
      <c r="D23" s="295" t="s">
        <v>148</v>
      </c>
      <c r="E23" s="296"/>
      <c r="F23" s="296"/>
      <c r="G23" s="297"/>
      <c r="H23" s="298" t="s">
        <v>149</v>
      </c>
      <c r="I23" s="299"/>
      <c r="J23" s="300" t="s">
        <v>150</v>
      </c>
      <c r="K23" s="300"/>
      <c r="L23" s="300"/>
      <c r="M23" s="301"/>
      <c r="N23" s="302" t="s">
        <v>151</v>
      </c>
      <c r="O23" s="303"/>
      <c r="P23" s="303"/>
      <c r="Q23" s="304"/>
    </row>
    <row r="24" spans="1:17">
      <c r="A24" s="136"/>
      <c r="B24" s="147"/>
      <c r="C24" s="148"/>
      <c r="D24" s="281" t="s">
        <v>150</v>
      </c>
      <c r="E24" s="282"/>
      <c r="F24" s="282"/>
      <c r="G24" s="283"/>
      <c r="H24" s="149"/>
      <c r="I24" s="137"/>
      <c r="J24" s="308"/>
      <c r="K24" s="308"/>
      <c r="L24" s="308"/>
      <c r="M24" s="309"/>
      <c r="N24" s="305"/>
      <c r="O24" s="306"/>
      <c r="P24" s="306"/>
      <c r="Q24" s="307"/>
    </row>
    <row r="25" spans="1:17">
      <c r="A25" s="275"/>
      <c r="B25" s="276"/>
      <c r="C25" s="277"/>
      <c r="D25" s="281"/>
      <c r="E25" s="282"/>
      <c r="F25" s="282"/>
      <c r="G25" s="283"/>
      <c r="H25" s="281"/>
      <c r="I25" s="283"/>
      <c r="J25" s="281"/>
      <c r="K25" s="282"/>
      <c r="L25" s="282"/>
      <c r="M25" s="283"/>
      <c r="N25" s="138"/>
      <c r="O25" s="292" t="e">
        <f>P21</f>
        <v>#REF!</v>
      </c>
      <c r="P25" s="292"/>
      <c r="Q25" s="139"/>
    </row>
    <row r="26" spans="1:17">
      <c r="A26" s="275"/>
      <c r="B26" s="276"/>
      <c r="C26" s="277"/>
      <c r="D26" s="281"/>
      <c r="E26" s="282"/>
      <c r="F26" s="282"/>
      <c r="G26" s="283"/>
      <c r="H26" s="281"/>
      <c r="I26" s="283"/>
      <c r="J26" s="281"/>
      <c r="K26" s="282"/>
      <c r="L26" s="282"/>
      <c r="M26" s="283"/>
      <c r="N26" s="138"/>
      <c r="O26" s="292"/>
      <c r="P26" s="292"/>
      <c r="Q26" s="139"/>
    </row>
    <row r="27" spans="1:17">
      <c r="A27" s="275"/>
      <c r="B27" s="276"/>
      <c r="C27" s="277"/>
      <c r="D27" s="281"/>
      <c r="E27" s="282"/>
      <c r="F27" s="282"/>
      <c r="G27" s="283"/>
      <c r="H27" s="281"/>
      <c r="I27" s="283"/>
      <c r="J27" s="281"/>
      <c r="K27" s="282"/>
      <c r="L27" s="282"/>
      <c r="M27" s="283"/>
      <c r="N27" s="138"/>
      <c r="O27" s="150"/>
      <c r="P27" s="150"/>
      <c r="Q27" s="139"/>
    </row>
    <row r="28" spans="1:17">
      <c r="A28" s="278"/>
      <c r="B28" s="279"/>
      <c r="C28" s="280"/>
      <c r="D28" s="284"/>
      <c r="E28" s="285"/>
      <c r="F28" s="285"/>
      <c r="G28" s="286"/>
      <c r="H28" s="281"/>
      <c r="I28" s="283"/>
      <c r="J28" s="284"/>
      <c r="K28" s="285"/>
      <c r="L28" s="285"/>
      <c r="M28" s="286"/>
      <c r="N28" s="138"/>
      <c r="O28" s="150"/>
      <c r="P28" s="150"/>
      <c r="Q28" s="139"/>
    </row>
    <row r="29" spans="1:17" ht="27.6" customHeight="1" thickBot="1">
      <c r="A29" s="287" t="s">
        <v>152</v>
      </c>
      <c r="B29" s="288"/>
      <c r="C29" s="288"/>
      <c r="D29" s="288" t="s">
        <v>153</v>
      </c>
      <c r="E29" s="288"/>
      <c r="F29" s="288"/>
      <c r="G29" s="288"/>
      <c r="H29" s="289" t="s">
        <v>154</v>
      </c>
      <c r="I29" s="290"/>
      <c r="J29" s="291" t="s">
        <v>155</v>
      </c>
      <c r="K29" s="291"/>
      <c r="L29" s="291"/>
      <c r="M29" s="291"/>
      <c r="N29" s="140"/>
      <c r="O29" s="141"/>
      <c r="P29" s="141"/>
      <c r="Q29" s="142"/>
    </row>
  </sheetData>
  <mergeCells count="103">
    <mergeCell ref="P3:Q4"/>
    <mergeCell ref="A4:D4"/>
    <mergeCell ref="E4:G5"/>
    <mergeCell ref="H4:I5"/>
    <mergeCell ref="J4:O4"/>
    <mergeCell ref="A5:D5"/>
    <mergeCell ref="J5:Q5"/>
    <mergeCell ref="A1:Q1"/>
    <mergeCell ref="A2:D3"/>
    <mergeCell ref="E2:G2"/>
    <mergeCell ref="H2:I2"/>
    <mergeCell ref="J2:L2"/>
    <mergeCell ref="M2:O2"/>
    <mergeCell ref="E3:G3"/>
    <mergeCell ref="H3:I3"/>
    <mergeCell ref="J3:L3"/>
    <mergeCell ref="M3:O3"/>
    <mergeCell ref="B11:D11"/>
    <mergeCell ref="N11:O11"/>
    <mergeCell ref="P11:Q11"/>
    <mergeCell ref="P6:Q6"/>
    <mergeCell ref="J7:K7"/>
    <mergeCell ref="L7:M7"/>
    <mergeCell ref="N7:O7"/>
    <mergeCell ref="P7:Q7"/>
    <mergeCell ref="A8:A9"/>
    <mergeCell ref="B8:D9"/>
    <mergeCell ref="E8:G8"/>
    <mergeCell ref="H8:J8"/>
    <mergeCell ref="K8:L9"/>
    <mergeCell ref="A6:D7"/>
    <mergeCell ref="E6:G7"/>
    <mergeCell ref="H6:I7"/>
    <mergeCell ref="J6:K6"/>
    <mergeCell ref="L6:M6"/>
    <mergeCell ref="N6:O6"/>
    <mergeCell ref="E12:G12"/>
    <mergeCell ref="K11:L11"/>
    <mergeCell ref="K12:L12"/>
    <mergeCell ref="K13:L13"/>
    <mergeCell ref="M8:M9"/>
    <mergeCell ref="N8:Q8"/>
    <mergeCell ref="E9:G9"/>
    <mergeCell ref="N9:O9"/>
    <mergeCell ref="P9:Q9"/>
    <mergeCell ref="K16:L16"/>
    <mergeCell ref="N16:O16"/>
    <mergeCell ref="P16:Q16"/>
    <mergeCell ref="P10:Q10"/>
    <mergeCell ref="N10:O10"/>
    <mergeCell ref="N14:O14"/>
    <mergeCell ref="P14:Q14"/>
    <mergeCell ref="B16:D16"/>
    <mergeCell ref="B14:D14"/>
    <mergeCell ref="B10:D10"/>
    <mergeCell ref="E15:G15"/>
    <mergeCell ref="K15:L15"/>
    <mergeCell ref="N15:O15"/>
    <mergeCell ref="P15:Q15"/>
    <mergeCell ref="E16:G16"/>
    <mergeCell ref="N12:O12"/>
    <mergeCell ref="P12:Q12"/>
    <mergeCell ref="N13:O13"/>
    <mergeCell ref="P13:Q13"/>
    <mergeCell ref="E13:G13"/>
    <mergeCell ref="B15:D15"/>
    <mergeCell ref="B12:D12"/>
    <mergeCell ref="B13:D13"/>
    <mergeCell ref="E11:G11"/>
    <mergeCell ref="B17:D17"/>
    <mergeCell ref="N17:O17"/>
    <mergeCell ref="P17:Q17"/>
    <mergeCell ref="B18:D18"/>
    <mergeCell ref="B19:D19"/>
    <mergeCell ref="E18:G18"/>
    <mergeCell ref="K18:L18"/>
    <mergeCell ref="N18:O18"/>
    <mergeCell ref="P18:Q18"/>
    <mergeCell ref="E19:G19"/>
    <mergeCell ref="A23:C23"/>
    <mergeCell ref="D23:G23"/>
    <mergeCell ref="H23:I23"/>
    <mergeCell ref="J23:M23"/>
    <mergeCell ref="N23:Q24"/>
    <mergeCell ref="D24:G24"/>
    <mergeCell ref="J24:M24"/>
    <mergeCell ref="K19:L19"/>
    <mergeCell ref="N19:O19"/>
    <mergeCell ref="P19:Q19"/>
    <mergeCell ref="A21:I22"/>
    <mergeCell ref="J21:M22"/>
    <mergeCell ref="N21:O21"/>
    <mergeCell ref="P21:Q21"/>
    <mergeCell ref="N22:Q22"/>
    <mergeCell ref="A25:C28"/>
    <mergeCell ref="D25:G28"/>
    <mergeCell ref="H25:I28"/>
    <mergeCell ref="J25:M28"/>
    <mergeCell ref="A29:C29"/>
    <mergeCell ref="D29:G29"/>
    <mergeCell ref="H29:I29"/>
    <mergeCell ref="J29:M29"/>
    <mergeCell ref="O25:P26"/>
  </mergeCells>
  <printOptions horizontalCentered="1"/>
  <pageMargins left="0.19685039370078741" right="0" top="0.39370078740157483" bottom="0" header="0" footer="0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1"/>
  <sheetViews>
    <sheetView showGridLines="0" view="pageBreakPreview" topLeftCell="A109" zoomScale="80" zoomScaleNormal="90" zoomScaleSheetLayoutView="80" workbookViewId="0">
      <selection activeCell="H13" sqref="H13"/>
    </sheetView>
  </sheetViews>
  <sheetFormatPr defaultRowHeight="15" customHeight="1"/>
  <cols>
    <col min="1" max="1" width="19.109375" style="40" customWidth="1"/>
    <col min="2" max="2" width="16.44140625" style="38" customWidth="1"/>
    <col min="3" max="3" width="16.88671875" style="40" customWidth="1"/>
    <col min="4" max="4" width="19.6640625" style="40" customWidth="1"/>
    <col min="5" max="5" width="18.5546875" style="40" customWidth="1"/>
    <col min="6" max="6" width="21.6640625" style="38" customWidth="1"/>
    <col min="7" max="7" width="20.109375" style="40" bestFit="1" customWidth="1"/>
    <col min="8" max="8" width="20.33203125" style="40" customWidth="1"/>
    <col min="9" max="10" width="17.5546875" style="37" customWidth="1"/>
    <col min="11" max="11" width="13.88671875" style="41" customWidth="1"/>
    <col min="12" max="12" width="4" style="31" customWidth="1"/>
    <col min="13" max="13" width="9.109375" style="31"/>
    <col min="14" max="14" width="11.5546875" style="31" customWidth="1"/>
    <col min="15" max="17" width="9.109375" style="31"/>
    <col min="18" max="18" width="10" style="31" bestFit="1" customWidth="1"/>
    <col min="19" max="19" width="13.44140625" style="31" customWidth="1"/>
    <col min="20" max="20" width="14.44140625" style="31" bestFit="1" customWidth="1"/>
    <col min="21" max="21" width="14.109375" style="31" customWidth="1"/>
    <col min="22" max="256" width="9.109375" style="31"/>
    <col min="257" max="257" width="19.88671875" style="31" customWidth="1"/>
    <col min="258" max="258" width="16" style="31" customWidth="1"/>
    <col min="259" max="259" width="15.6640625" style="31" customWidth="1"/>
    <col min="260" max="260" width="17.6640625" style="31" customWidth="1"/>
    <col min="261" max="262" width="15.6640625" style="31" customWidth="1"/>
    <col min="263" max="263" width="16.6640625" style="31" customWidth="1"/>
    <col min="264" max="264" width="16.33203125" style="31" customWidth="1"/>
    <col min="265" max="265" width="17.6640625" style="31" customWidth="1"/>
    <col min="266" max="266" width="14" style="31" customWidth="1"/>
    <col min="267" max="267" width="15" style="31" customWidth="1"/>
    <col min="268" max="268" width="4" style="31" customWidth="1"/>
    <col min="269" max="269" width="9.109375" style="31"/>
    <col min="270" max="270" width="11.5546875" style="31" customWidth="1"/>
    <col min="271" max="273" width="9.109375" style="31"/>
    <col min="274" max="274" width="10" style="31" bestFit="1" customWidth="1"/>
    <col min="275" max="275" width="13.44140625" style="31" customWidth="1"/>
    <col min="276" max="276" width="14.44140625" style="31" bestFit="1" customWidth="1"/>
    <col min="277" max="277" width="14.109375" style="31" customWidth="1"/>
    <col min="278" max="512" width="9.109375" style="31"/>
    <col min="513" max="513" width="19.88671875" style="31" customWidth="1"/>
    <col min="514" max="514" width="16" style="31" customWidth="1"/>
    <col min="515" max="515" width="15.6640625" style="31" customWidth="1"/>
    <col min="516" max="516" width="17.6640625" style="31" customWidth="1"/>
    <col min="517" max="518" width="15.6640625" style="31" customWidth="1"/>
    <col min="519" max="519" width="16.6640625" style="31" customWidth="1"/>
    <col min="520" max="520" width="16.33203125" style="31" customWidth="1"/>
    <col min="521" max="521" width="17.6640625" style="31" customWidth="1"/>
    <col min="522" max="522" width="14" style="31" customWidth="1"/>
    <col min="523" max="523" width="15" style="31" customWidth="1"/>
    <col min="524" max="524" width="4" style="31" customWidth="1"/>
    <col min="525" max="525" width="9.109375" style="31"/>
    <col min="526" max="526" width="11.5546875" style="31" customWidth="1"/>
    <col min="527" max="529" width="9.109375" style="31"/>
    <col min="530" max="530" width="10" style="31" bestFit="1" customWidth="1"/>
    <col min="531" max="531" width="13.44140625" style="31" customWidth="1"/>
    <col min="532" max="532" width="14.44140625" style="31" bestFit="1" customWidth="1"/>
    <col min="533" max="533" width="14.109375" style="31" customWidth="1"/>
    <col min="534" max="768" width="9.109375" style="31"/>
    <col min="769" max="769" width="19.88671875" style="31" customWidth="1"/>
    <col min="770" max="770" width="16" style="31" customWidth="1"/>
    <col min="771" max="771" width="15.6640625" style="31" customWidth="1"/>
    <col min="772" max="772" width="17.6640625" style="31" customWidth="1"/>
    <col min="773" max="774" width="15.6640625" style="31" customWidth="1"/>
    <col min="775" max="775" width="16.6640625" style="31" customWidth="1"/>
    <col min="776" max="776" width="16.33203125" style="31" customWidth="1"/>
    <col min="777" max="777" width="17.6640625" style="31" customWidth="1"/>
    <col min="778" max="778" width="14" style="31" customWidth="1"/>
    <col min="779" max="779" width="15" style="31" customWidth="1"/>
    <col min="780" max="780" width="4" style="31" customWidth="1"/>
    <col min="781" max="781" width="9.109375" style="31"/>
    <col min="782" max="782" width="11.5546875" style="31" customWidth="1"/>
    <col min="783" max="785" width="9.109375" style="31"/>
    <col min="786" max="786" width="10" style="31" bestFit="1" customWidth="1"/>
    <col min="787" max="787" width="13.44140625" style="31" customWidth="1"/>
    <col min="788" max="788" width="14.44140625" style="31" bestFit="1" customWidth="1"/>
    <col min="789" max="789" width="14.109375" style="31" customWidth="1"/>
    <col min="790" max="1024" width="9.109375" style="31"/>
    <col min="1025" max="1025" width="19.88671875" style="31" customWidth="1"/>
    <col min="1026" max="1026" width="16" style="31" customWidth="1"/>
    <col min="1027" max="1027" width="15.6640625" style="31" customWidth="1"/>
    <col min="1028" max="1028" width="17.6640625" style="31" customWidth="1"/>
    <col min="1029" max="1030" width="15.6640625" style="31" customWidth="1"/>
    <col min="1031" max="1031" width="16.6640625" style="31" customWidth="1"/>
    <col min="1032" max="1032" width="16.33203125" style="31" customWidth="1"/>
    <col min="1033" max="1033" width="17.6640625" style="31" customWidth="1"/>
    <col min="1034" max="1034" width="14" style="31" customWidth="1"/>
    <col min="1035" max="1035" width="15" style="31" customWidth="1"/>
    <col min="1036" max="1036" width="4" style="31" customWidth="1"/>
    <col min="1037" max="1037" width="9.109375" style="31"/>
    <col min="1038" max="1038" width="11.5546875" style="31" customWidth="1"/>
    <col min="1039" max="1041" width="9.109375" style="31"/>
    <col min="1042" max="1042" width="10" style="31" bestFit="1" customWidth="1"/>
    <col min="1043" max="1043" width="13.44140625" style="31" customWidth="1"/>
    <col min="1044" max="1044" width="14.44140625" style="31" bestFit="1" customWidth="1"/>
    <col min="1045" max="1045" width="14.109375" style="31" customWidth="1"/>
    <col min="1046" max="1280" width="9.109375" style="31"/>
    <col min="1281" max="1281" width="19.88671875" style="31" customWidth="1"/>
    <col min="1282" max="1282" width="16" style="31" customWidth="1"/>
    <col min="1283" max="1283" width="15.6640625" style="31" customWidth="1"/>
    <col min="1284" max="1284" width="17.6640625" style="31" customWidth="1"/>
    <col min="1285" max="1286" width="15.6640625" style="31" customWidth="1"/>
    <col min="1287" max="1287" width="16.6640625" style="31" customWidth="1"/>
    <col min="1288" max="1288" width="16.33203125" style="31" customWidth="1"/>
    <col min="1289" max="1289" width="17.6640625" style="31" customWidth="1"/>
    <col min="1290" max="1290" width="14" style="31" customWidth="1"/>
    <col min="1291" max="1291" width="15" style="31" customWidth="1"/>
    <col min="1292" max="1292" width="4" style="31" customWidth="1"/>
    <col min="1293" max="1293" width="9.109375" style="31"/>
    <col min="1294" max="1294" width="11.5546875" style="31" customWidth="1"/>
    <col min="1295" max="1297" width="9.109375" style="31"/>
    <col min="1298" max="1298" width="10" style="31" bestFit="1" customWidth="1"/>
    <col min="1299" max="1299" width="13.44140625" style="31" customWidth="1"/>
    <col min="1300" max="1300" width="14.44140625" style="31" bestFit="1" customWidth="1"/>
    <col min="1301" max="1301" width="14.109375" style="31" customWidth="1"/>
    <col min="1302" max="1536" width="9.109375" style="31"/>
    <col min="1537" max="1537" width="19.88671875" style="31" customWidth="1"/>
    <col min="1538" max="1538" width="16" style="31" customWidth="1"/>
    <col min="1539" max="1539" width="15.6640625" style="31" customWidth="1"/>
    <col min="1540" max="1540" width="17.6640625" style="31" customWidth="1"/>
    <col min="1541" max="1542" width="15.6640625" style="31" customWidth="1"/>
    <col min="1543" max="1543" width="16.6640625" style="31" customWidth="1"/>
    <col min="1544" max="1544" width="16.33203125" style="31" customWidth="1"/>
    <col min="1545" max="1545" width="17.6640625" style="31" customWidth="1"/>
    <col min="1546" max="1546" width="14" style="31" customWidth="1"/>
    <col min="1547" max="1547" width="15" style="31" customWidth="1"/>
    <col min="1548" max="1548" width="4" style="31" customWidth="1"/>
    <col min="1549" max="1549" width="9.109375" style="31"/>
    <col min="1550" max="1550" width="11.5546875" style="31" customWidth="1"/>
    <col min="1551" max="1553" width="9.109375" style="31"/>
    <col min="1554" max="1554" width="10" style="31" bestFit="1" customWidth="1"/>
    <col min="1555" max="1555" width="13.44140625" style="31" customWidth="1"/>
    <col min="1556" max="1556" width="14.44140625" style="31" bestFit="1" customWidth="1"/>
    <col min="1557" max="1557" width="14.109375" style="31" customWidth="1"/>
    <col min="1558" max="1792" width="9.109375" style="31"/>
    <col min="1793" max="1793" width="19.88671875" style="31" customWidth="1"/>
    <col min="1794" max="1794" width="16" style="31" customWidth="1"/>
    <col min="1795" max="1795" width="15.6640625" style="31" customWidth="1"/>
    <col min="1796" max="1796" width="17.6640625" style="31" customWidth="1"/>
    <col min="1797" max="1798" width="15.6640625" style="31" customWidth="1"/>
    <col min="1799" max="1799" width="16.6640625" style="31" customWidth="1"/>
    <col min="1800" max="1800" width="16.33203125" style="31" customWidth="1"/>
    <col min="1801" max="1801" width="17.6640625" style="31" customWidth="1"/>
    <col min="1802" max="1802" width="14" style="31" customWidth="1"/>
    <col min="1803" max="1803" width="15" style="31" customWidth="1"/>
    <col min="1804" max="1804" width="4" style="31" customWidth="1"/>
    <col min="1805" max="1805" width="9.109375" style="31"/>
    <col min="1806" max="1806" width="11.5546875" style="31" customWidth="1"/>
    <col min="1807" max="1809" width="9.109375" style="31"/>
    <col min="1810" max="1810" width="10" style="31" bestFit="1" customWidth="1"/>
    <col min="1811" max="1811" width="13.44140625" style="31" customWidth="1"/>
    <col min="1812" max="1812" width="14.44140625" style="31" bestFit="1" customWidth="1"/>
    <col min="1813" max="1813" width="14.109375" style="31" customWidth="1"/>
    <col min="1814" max="2048" width="9.109375" style="31"/>
    <col min="2049" max="2049" width="19.88671875" style="31" customWidth="1"/>
    <col min="2050" max="2050" width="16" style="31" customWidth="1"/>
    <col min="2051" max="2051" width="15.6640625" style="31" customWidth="1"/>
    <col min="2052" max="2052" width="17.6640625" style="31" customWidth="1"/>
    <col min="2053" max="2054" width="15.6640625" style="31" customWidth="1"/>
    <col min="2055" max="2055" width="16.6640625" style="31" customWidth="1"/>
    <col min="2056" max="2056" width="16.33203125" style="31" customWidth="1"/>
    <col min="2057" max="2057" width="17.6640625" style="31" customWidth="1"/>
    <col min="2058" max="2058" width="14" style="31" customWidth="1"/>
    <col min="2059" max="2059" width="15" style="31" customWidth="1"/>
    <col min="2060" max="2060" width="4" style="31" customWidth="1"/>
    <col min="2061" max="2061" width="9.109375" style="31"/>
    <col min="2062" max="2062" width="11.5546875" style="31" customWidth="1"/>
    <col min="2063" max="2065" width="9.109375" style="31"/>
    <col min="2066" max="2066" width="10" style="31" bestFit="1" customWidth="1"/>
    <col min="2067" max="2067" width="13.44140625" style="31" customWidth="1"/>
    <col min="2068" max="2068" width="14.44140625" style="31" bestFit="1" customWidth="1"/>
    <col min="2069" max="2069" width="14.109375" style="31" customWidth="1"/>
    <col min="2070" max="2304" width="9.109375" style="31"/>
    <col min="2305" max="2305" width="19.88671875" style="31" customWidth="1"/>
    <col min="2306" max="2306" width="16" style="31" customWidth="1"/>
    <col min="2307" max="2307" width="15.6640625" style="31" customWidth="1"/>
    <col min="2308" max="2308" width="17.6640625" style="31" customWidth="1"/>
    <col min="2309" max="2310" width="15.6640625" style="31" customWidth="1"/>
    <col min="2311" max="2311" width="16.6640625" style="31" customWidth="1"/>
    <col min="2312" max="2312" width="16.33203125" style="31" customWidth="1"/>
    <col min="2313" max="2313" width="17.6640625" style="31" customWidth="1"/>
    <col min="2314" max="2314" width="14" style="31" customWidth="1"/>
    <col min="2315" max="2315" width="15" style="31" customWidth="1"/>
    <col min="2316" max="2316" width="4" style="31" customWidth="1"/>
    <col min="2317" max="2317" width="9.109375" style="31"/>
    <col min="2318" max="2318" width="11.5546875" style="31" customWidth="1"/>
    <col min="2319" max="2321" width="9.109375" style="31"/>
    <col min="2322" max="2322" width="10" style="31" bestFit="1" customWidth="1"/>
    <col min="2323" max="2323" width="13.44140625" style="31" customWidth="1"/>
    <col min="2324" max="2324" width="14.44140625" style="31" bestFit="1" customWidth="1"/>
    <col min="2325" max="2325" width="14.109375" style="31" customWidth="1"/>
    <col min="2326" max="2560" width="9.109375" style="31"/>
    <col min="2561" max="2561" width="19.88671875" style="31" customWidth="1"/>
    <col min="2562" max="2562" width="16" style="31" customWidth="1"/>
    <col min="2563" max="2563" width="15.6640625" style="31" customWidth="1"/>
    <col min="2564" max="2564" width="17.6640625" style="31" customWidth="1"/>
    <col min="2565" max="2566" width="15.6640625" style="31" customWidth="1"/>
    <col min="2567" max="2567" width="16.6640625" style="31" customWidth="1"/>
    <col min="2568" max="2568" width="16.33203125" style="31" customWidth="1"/>
    <col min="2569" max="2569" width="17.6640625" style="31" customWidth="1"/>
    <col min="2570" max="2570" width="14" style="31" customWidth="1"/>
    <col min="2571" max="2571" width="15" style="31" customWidth="1"/>
    <col min="2572" max="2572" width="4" style="31" customWidth="1"/>
    <col min="2573" max="2573" width="9.109375" style="31"/>
    <col min="2574" max="2574" width="11.5546875" style="31" customWidth="1"/>
    <col min="2575" max="2577" width="9.109375" style="31"/>
    <col min="2578" max="2578" width="10" style="31" bestFit="1" customWidth="1"/>
    <col min="2579" max="2579" width="13.44140625" style="31" customWidth="1"/>
    <col min="2580" max="2580" width="14.44140625" style="31" bestFit="1" customWidth="1"/>
    <col min="2581" max="2581" width="14.109375" style="31" customWidth="1"/>
    <col min="2582" max="2816" width="9.109375" style="31"/>
    <col min="2817" max="2817" width="19.88671875" style="31" customWidth="1"/>
    <col min="2818" max="2818" width="16" style="31" customWidth="1"/>
    <col min="2819" max="2819" width="15.6640625" style="31" customWidth="1"/>
    <col min="2820" max="2820" width="17.6640625" style="31" customWidth="1"/>
    <col min="2821" max="2822" width="15.6640625" style="31" customWidth="1"/>
    <col min="2823" max="2823" width="16.6640625" style="31" customWidth="1"/>
    <col min="2824" max="2824" width="16.33203125" style="31" customWidth="1"/>
    <col min="2825" max="2825" width="17.6640625" style="31" customWidth="1"/>
    <col min="2826" max="2826" width="14" style="31" customWidth="1"/>
    <col min="2827" max="2827" width="15" style="31" customWidth="1"/>
    <col min="2828" max="2828" width="4" style="31" customWidth="1"/>
    <col min="2829" max="2829" width="9.109375" style="31"/>
    <col min="2830" max="2830" width="11.5546875" style="31" customWidth="1"/>
    <col min="2831" max="2833" width="9.109375" style="31"/>
    <col min="2834" max="2834" width="10" style="31" bestFit="1" customWidth="1"/>
    <col min="2835" max="2835" width="13.44140625" style="31" customWidth="1"/>
    <col min="2836" max="2836" width="14.44140625" style="31" bestFit="1" customWidth="1"/>
    <col min="2837" max="2837" width="14.109375" style="31" customWidth="1"/>
    <col min="2838" max="3072" width="9.109375" style="31"/>
    <col min="3073" max="3073" width="19.88671875" style="31" customWidth="1"/>
    <col min="3074" max="3074" width="16" style="31" customWidth="1"/>
    <col min="3075" max="3075" width="15.6640625" style="31" customWidth="1"/>
    <col min="3076" max="3076" width="17.6640625" style="31" customWidth="1"/>
    <col min="3077" max="3078" width="15.6640625" style="31" customWidth="1"/>
    <col min="3079" max="3079" width="16.6640625" style="31" customWidth="1"/>
    <col min="3080" max="3080" width="16.33203125" style="31" customWidth="1"/>
    <col min="3081" max="3081" width="17.6640625" style="31" customWidth="1"/>
    <col min="3082" max="3082" width="14" style="31" customWidth="1"/>
    <col min="3083" max="3083" width="15" style="31" customWidth="1"/>
    <col min="3084" max="3084" width="4" style="31" customWidth="1"/>
    <col min="3085" max="3085" width="9.109375" style="31"/>
    <col min="3086" max="3086" width="11.5546875" style="31" customWidth="1"/>
    <col min="3087" max="3089" width="9.109375" style="31"/>
    <col min="3090" max="3090" width="10" style="31" bestFit="1" customWidth="1"/>
    <col min="3091" max="3091" width="13.44140625" style="31" customWidth="1"/>
    <col min="3092" max="3092" width="14.44140625" style="31" bestFit="1" customWidth="1"/>
    <col min="3093" max="3093" width="14.109375" style="31" customWidth="1"/>
    <col min="3094" max="3328" width="9.109375" style="31"/>
    <col min="3329" max="3329" width="19.88671875" style="31" customWidth="1"/>
    <col min="3330" max="3330" width="16" style="31" customWidth="1"/>
    <col min="3331" max="3331" width="15.6640625" style="31" customWidth="1"/>
    <col min="3332" max="3332" width="17.6640625" style="31" customWidth="1"/>
    <col min="3333" max="3334" width="15.6640625" style="31" customWidth="1"/>
    <col min="3335" max="3335" width="16.6640625" style="31" customWidth="1"/>
    <col min="3336" max="3336" width="16.33203125" style="31" customWidth="1"/>
    <col min="3337" max="3337" width="17.6640625" style="31" customWidth="1"/>
    <col min="3338" max="3338" width="14" style="31" customWidth="1"/>
    <col min="3339" max="3339" width="15" style="31" customWidth="1"/>
    <col min="3340" max="3340" width="4" style="31" customWidth="1"/>
    <col min="3341" max="3341" width="9.109375" style="31"/>
    <col min="3342" max="3342" width="11.5546875" style="31" customWidth="1"/>
    <col min="3343" max="3345" width="9.109375" style="31"/>
    <col min="3346" max="3346" width="10" style="31" bestFit="1" customWidth="1"/>
    <col min="3347" max="3347" width="13.44140625" style="31" customWidth="1"/>
    <col min="3348" max="3348" width="14.44140625" style="31" bestFit="1" customWidth="1"/>
    <col min="3349" max="3349" width="14.109375" style="31" customWidth="1"/>
    <col min="3350" max="3584" width="9.109375" style="31"/>
    <col min="3585" max="3585" width="19.88671875" style="31" customWidth="1"/>
    <col min="3586" max="3586" width="16" style="31" customWidth="1"/>
    <col min="3587" max="3587" width="15.6640625" style="31" customWidth="1"/>
    <col min="3588" max="3588" width="17.6640625" style="31" customWidth="1"/>
    <col min="3589" max="3590" width="15.6640625" style="31" customWidth="1"/>
    <col min="3591" max="3591" width="16.6640625" style="31" customWidth="1"/>
    <col min="3592" max="3592" width="16.33203125" style="31" customWidth="1"/>
    <col min="3593" max="3593" width="17.6640625" style="31" customWidth="1"/>
    <col min="3594" max="3594" width="14" style="31" customWidth="1"/>
    <col min="3595" max="3595" width="15" style="31" customWidth="1"/>
    <col min="3596" max="3596" width="4" style="31" customWidth="1"/>
    <col min="3597" max="3597" width="9.109375" style="31"/>
    <col min="3598" max="3598" width="11.5546875" style="31" customWidth="1"/>
    <col min="3599" max="3601" width="9.109375" style="31"/>
    <col min="3602" max="3602" width="10" style="31" bestFit="1" customWidth="1"/>
    <col min="3603" max="3603" width="13.44140625" style="31" customWidth="1"/>
    <col min="3604" max="3604" width="14.44140625" style="31" bestFit="1" customWidth="1"/>
    <col min="3605" max="3605" width="14.109375" style="31" customWidth="1"/>
    <col min="3606" max="3840" width="9.109375" style="31"/>
    <col min="3841" max="3841" width="19.88671875" style="31" customWidth="1"/>
    <col min="3842" max="3842" width="16" style="31" customWidth="1"/>
    <col min="3843" max="3843" width="15.6640625" style="31" customWidth="1"/>
    <col min="3844" max="3844" width="17.6640625" style="31" customWidth="1"/>
    <col min="3845" max="3846" width="15.6640625" style="31" customWidth="1"/>
    <col min="3847" max="3847" width="16.6640625" style="31" customWidth="1"/>
    <col min="3848" max="3848" width="16.33203125" style="31" customWidth="1"/>
    <col min="3849" max="3849" width="17.6640625" style="31" customWidth="1"/>
    <col min="3850" max="3850" width="14" style="31" customWidth="1"/>
    <col min="3851" max="3851" width="15" style="31" customWidth="1"/>
    <col min="3852" max="3852" width="4" style="31" customWidth="1"/>
    <col min="3853" max="3853" width="9.109375" style="31"/>
    <col min="3854" max="3854" width="11.5546875" style="31" customWidth="1"/>
    <col min="3855" max="3857" width="9.109375" style="31"/>
    <col min="3858" max="3858" width="10" style="31" bestFit="1" customWidth="1"/>
    <col min="3859" max="3859" width="13.44140625" style="31" customWidth="1"/>
    <col min="3860" max="3860" width="14.44140625" style="31" bestFit="1" customWidth="1"/>
    <col min="3861" max="3861" width="14.109375" style="31" customWidth="1"/>
    <col min="3862" max="4096" width="9.109375" style="31"/>
    <col min="4097" max="4097" width="19.88671875" style="31" customWidth="1"/>
    <col min="4098" max="4098" width="16" style="31" customWidth="1"/>
    <col min="4099" max="4099" width="15.6640625" style="31" customWidth="1"/>
    <col min="4100" max="4100" width="17.6640625" style="31" customWidth="1"/>
    <col min="4101" max="4102" width="15.6640625" style="31" customWidth="1"/>
    <col min="4103" max="4103" width="16.6640625" style="31" customWidth="1"/>
    <col min="4104" max="4104" width="16.33203125" style="31" customWidth="1"/>
    <col min="4105" max="4105" width="17.6640625" style="31" customWidth="1"/>
    <col min="4106" max="4106" width="14" style="31" customWidth="1"/>
    <col min="4107" max="4107" width="15" style="31" customWidth="1"/>
    <col min="4108" max="4108" width="4" style="31" customWidth="1"/>
    <col min="4109" max="4109" width="9.109375" style="31"/>
    <col min="4110" max="4110" width="11.5546875" style="31" customWidth="1"/>
    <col min="4111" max="4113" width="9.109375" style="31"/>
    <col min="4114" max="4114" width="10" style="31" bestFit="1" customWidth="1"/>
    <col min="4115" max="4115" width="13.44140625" style="31" customWidth="1"/>
    <col min="4116" max="4116" width="14.44140625" style="31" bestFit="1" customWidth="1"/>
    <col min="4117" max="4117" width="14.109375" style="31" customWidth="1"/>
    <col min="4118" max="4352" width="9.109375" style="31"/>
    <col min="4353" max="4353" width="19.88671875" style="31" customWidth="1"/>
    <col min="4354" max="4354" width="16" style="31" customWidth="1"/>
    <col min="4355" max="4355" width="15.6640625" style="31" customWidth="1"/>
    <col min="4356" max="4356" width="17.6640625" style="31" customWidth="1"/>
    <col min="4357" max="4358" width="15.6640625" style="31" customWidth="1"/>
    <col min="4359" max="4359" width="16.6640625" style="31" customWidth="1"/>
    <col min="4360" max="4360" width="16.33203125" style="31" customWidth="1"/>
    <col min="4361" max="4361" width="17.6640625" style="31" customWidth="1"/>
    <col min="4362" max="4362" width="14" style="31" customWidth="1"/>
    <col min="4363" max="4363" width="15" style="31" customWidth="1"/>
    <col min="4364" max="4364" width="4" style="31" customWidth="1"/>
    <col min="4365" max="4365" width="9.109375" style="31"/>
    <col min="4366" max="4366" width="11.5546875" style="31" customWidth="1"/>
    <col min="4367" max="4369" width="9.109375" style="31"/>
    <col min="4370" max="4370" width="10" style="31" bestFit="1" customWidth="1"/>
    <col min="4371" max="4371" width="13.44140625" style="31" customWidth="1"/>
    <col min="4372" max="4372" width="14.44140625" style="31" bestFit="1" customWidth="1"/>
    <col min="4373" max="4373" width="14.109375" style="31" customWidth="1"/>
    <col min="4374" max="4608" width="9.109375" style="31"/>
    <col min="4609" max="4609" width="19.88671875" style="31" customWidth="1"/>
    <col min="4610" max="4610" width="16" style="31" customWidth="1"/>
    <col min="4611" max="4611" width="15.6640625" style="31" customWidth="1"/>
    <col min="4612" max="4612" width="17.6640625" style="31" customWidth="1"/>
    <col min="4613" max="4614" width="15.6640625" style="31" customWidth="1"/>
    <col min="4615" max="4615" width="16.6640625" style="31" customWidth="1"/>
    <col min="4616" max="4616" width="16.33203125" style="31" customWidth="1"/>
    <col min="4617" max="4617" width="17.6640625" style="31" customWidth="1"/>
    <col min="4618" max="4618" width="14" style="31" customWidth="1"/>
    <col min="4619" max="4619" width="15" style="31" customWidth="1"/>
    <col min="4620" max="4620" width="4" style="31" customWidth="1"/>
    <col min="4621" max="4621" width="9.109375" style="31"/>
    <col min="4622" max="4622" width="11.5546875" style="31" customWidth="1"/>
    <col min="4623" max="4625" width="9.109375" style="31"/>
    <col min="4626" max="4626" width="10" style="31" bestFit="1" customWidth="1"/>
    <col min="4627" max="4627" width="13.44140625" style="31" customWidth="1"/>
    <col min="4628" max="4628" width="14.44140625" style="31" bestFit="1" customWidth="1"/>
    <col min="4629" max="4629" width="14.109375" style="31" customWidth="1"/>
    <col min="4630" max="4864" width="9.109375" style="31"/>
    <col min="4865" max="4865" width="19.88671875" style="31" customWidth="1"/>
    <col min="4866" max="4866" width="16" style="31" customWidth="1"/>
    <col min="4867" max="4867" width="15.6640625" style="31" customWidth="1"/>
    <col min="4868" max="4868" width="17.6640625" style="31" customWidth="1"/>
    <col min="4869" max="4870" width="15.6640625" style="31" customWidth="1"/>
    <col min="4871" max="4871" width="16.6640625" style="31" customWidth="1"/>
    <col min="4872" max="4872" width="16.33203125" style="31" customWidth="1"/>
    <col min="4873" max="4873" width="17.6640625" style="31" customWidth="1"/>
    <col min="4874" max="4874" width="14" style="31" customWidth="1"/>
    <col min="4875" max="4875" width="15" style="31" customWidth="1"/>
    <col min="4876" max="4876" width="4" style="31" customWidth="1"/>
    <col min="4877" max="4877" width="9.109375" style="31"/>
    <col min="4878" max="4878" width="11.5546875" style="31" customWidth="1"/>
    <col min="4879" max="4881" width="9.109375" style="31"/>
    <col min="4882" max="4882" width="10" style="31" bestFit="1" customWidth="1"/>
    <col min="4883" max="4883" width="13.44140625" style="31" customWidth="1"/>
    <col min="4884" max="4884" width="14.44140625" style="31" bestFit="1" customWidth="1"/>
    <col min="4885" max="4885" width="14.109375" style="31" customWidth="1"/>
    <col min="4886" max="5120" width="9.109375" style="31"/>
    <col min="5121" max="5121" width="19.88671875" style="31" customWidth="1"/>
    <col min="5122" max="5122" width="16" style="31" customWidth="1"/>
    <col min="5123" max="5123" width="15.6640625" style="31" customWidth="1"/>
    <col min="5124" max="5124" width="17.6640625" style="31" customWidth="1"/>
    <col min="5125" max="5126" width="15.6640625" style="31" customWidth="1"/>
    <col min="5127" max="5127" width="16.6640625" style="31" customWidth="1"/>
    <col min="5128" max="5128" width="16.33203125" style="31" customWidth="1"/>
    <col min="5129" max="5129" width="17.6640625" style="31" customWidth="1"/>
    <col min="5130" max="5130" width="14" style="31" customWidth="1"/>
    <col min="5131" max="5131" width="15" style="31" customWidth="1"/>
    <col min="5132" max="5132" width="4" style="31" customWidth="1"/>
    <col min="5133" max="5133" width="9.109375" style="31"/>
    <col min="5134" max="5134" width="11.5546875" style="31" customWidth="1"/>
    <col min="5135" max="5137" width="9.109375" style="31"/>
    <col min="5138" max="5138" width="10" style="31" bestFit="1" customWidth="1"/>
    <col min="5139" max="5139" width="13.44140625" style="31" customWidth="1"/>
    <col min="5140" max="5140" width="14.44140625" style="31" bestFit="1" customWidth="1"/>
    <col min="5141" max="5141" width="14.109375" style="31" customWidth="1"/>
    <col min="5142" max="5376" width="9.109375" style="31"/>
    <col min="5377" max="5377" width="19.88671875" style="31" customWidth="1"/>
    <col min="5378" max="5378" width="16" style="31" customWidth="1"/>
    <col min="5379" max="5379" width="15.6640625" style="31" customWidth="1"/>
    <col min="5380" max="5380" width="17.6640625" style="31" customWidth="1"/>
    <col min="5381" max="5382" width="15.6640625" style="31" customWidth="1"/>
    <col min="5383" max="5383" width="16.6640625" style="31" customWidth="1"/>
    <col min="5384" max="5384" width="16.33203125" style="31" customWidth="1"/>
    <col min="5385" max="5385" width="17.6640625" style="31" customWidth="1"/>
    <col min="5386" max="5386" width="14" style="31" customWidth="1"/>
    <col min="5387" max="5387" width="15" style="31" customWidth="1"/>
    <col min="5388" max="5388" width="4" style="31" customWidth="1"/>
    <col min="5389" max="5389" width="9.109375" style="31"/>
    <col min="5390" max="5390" width="11.5546875" style="31" customWidth="1"/>
    <col min="5391" max="5393" width="9.109375" style="31"/>
    <col min="5394" max="5394" width="10" style="31" bestFit="1" customWidth="1"/>
    <col min="5395" max="5395" width="13.44140625" style="31" customWidth="1"/>
    <col min="5396" max="5396" width="14.44140625" style="31" bestFit="1" customWidth="1"/>
    <col min="5397" max="5397" width="14.109375" style="31" customWidth="1"/>
    <col min="5398" max="5632" width="9.109375" style="31"/>
    <col min="5633" max="5633" width="19.88671875" style="31" customWidth="1"/>
    <col min="5634" max="5634" width="16" style="31" customWidth="1"/>
    <col min="5635" max="5635" width="15.6640625" style="31" customWidth="1"/>
    <col min="5636" max="5636" width="17.6640625" style="31" customWidth="1"/>
    <col min="5637" max="5638" width="15.6640625" style="31" customWidth="1"/>
    <col min="5639" max="5639" width="16.6640625" style="31" customWidth="1"/>
    <col min="5640" max="5640" width="16.33203125" style="31" customWidth="1"/>
    <col min="5641" max="5641" width="17.6640625" style="31" customWidth="1"/>
    <col min="5642" max="5642" width="14" style="31" customWidth="1"/>
    <col min="5643" max="5643" width="15" style="31" customWidth="1"/>
    <col min="5644" max="5644" width="4" style="31" customWidth="1"/>
    <col min="5645" max="5645" width="9.109375" style="31"/>
    <col min="5646" max="5646" width="11.5546875" style="31" customWidth="1"/>
    <col min="5647" max="5649" width="9.109375" style="31"/>
    <col min="5650" max="5650" width="10" style="31" bestFit="1" customWidth="1"/>
    <col min="5651" max="5651" width="13.44140625" style="31" customWidth="1"/>
    <col min="5652" max="5652" width="14.44140625" style="31" bestFit="1" customWidth="1"/>
    <col min="5653" max="5653" width="14.109375" style="31" customWidth="1"/>
    <col min="5654" max="5888" width="9.109375" style="31"/>
    <col min="5889" max="5889" width="19.88671875" style="31" customWidth="1"/>
    <col min="5890" max="5890" width="16" style="31" customWidth="1"/>
    <col min="5891" max="5891" width="15.6640625" style="31" customWidth="1"/>
    <col min="5892" max="5892" width="17.6640625" style="31" customWidth="1"/>
    <col min="5893" max="5894" width="15.6640625" style="31" customWidth="1"/>
    <col min="5895" max="5895" width="16.6640625" style="31" customWidth="1"/>
    <col min="5896" max="5896" width="16.33203125" style="31" customWidth="1"/>
    <col min="5897" max="5897" width="17.6640625" style="31" customWidth="1"/>
    <col min="5898" max="5898" width="14" style="31" customWidth="1"/>
    <col min="5899" max="5899" width="15" style="31" customWidth="1"/>
    <col min="5900" max="5900" width="4" style="31" customWidth="1"/>
    <col min="5901" max="5901" width="9.109375" style="31"/>
    <col min="5902" max="5902" width="11.5546875" style="31" customWidth="1"/>
    <col min="5903" max="5905" width="9.109375" style="31"/>
    <col min="5906" max="5906" width="10" style="31" bestFit="1" customWidth="1"/>
    <col min="5907" max="5907" width="13.44140625" style="31" customWidth="1"/>
    <col min="5908" max="5908" width="14.44140625" style="31" bestFit="1" customWidth="1"/>
    <col min="5909" max="5909" width="14.109375" style="31" customWidth="1"/>
    <col min="5910" max="6144" width="9.109375" style="31"/>
    <col min="6145" max="6145" width="19.88671875" style="31" customWidth="1"/>
    <col min="6146" max="6146" width="16" style="31" customWidth="1"/>
    <col min="6147" max="6147" width="15.6640625" style="31" customWidth="1"/>
    <col min="6148" max="6148" width="17.6640625" style="31" customWidth="1"/>
    <col min="6149" max="6150" width="15.6640625" style="31" customWidth="1"/>
    <col min="6151" max="6151" width="16.6640625" style="31" customWidth="1"/>
    <col min="6152" max="6152" width="16.33203125" style="31" customWidth="1"/>
    <col min="6153" max="6153" width="17.6640625" style="31" customWidth="1"/>
    <col min="6154" max="6154" width="14" style="31" customWidth="1"/>
    <col min="6155" max="6155" width="15" style="31" customWidth="1"/>
    <col min="6156" max="6156" width="4" style="31" customWidth="1"/>
    <col min="6157" max="6157" width="9.109375" style="31"/>
    <col min="6158" max="6158" width="11.5546875" style="31" customWidth="1"/>
    <col min="6159" max="6161" width="9.109375" style="31"/>
    <col min="6162" max="6162" width="10" style="31" bestFit="1" customWidth="1"/>
    <col min="6163" max="6163" width="13.44140625" style="31" customWidth="1"/>
    <col min="6164" max="6164" width="14.44140625" style="31" bestFit="1" customWidth="1"/>
    <col min="6165" max="6165" width="14.109375" style="31" customWidth="1"/>
    <col min="6166" max="6400" width="9.109375" style="31"/>
    <col min="6401" max="6401" width="19.88671875" style="31" customWidth="1"/>
    <col min="6402" max="6402" width="16" style="31" customWidth="1"/>
    <col min="6403" max="6403" width="15.6640625" style="31" customWidth="1"/>
    <col min="6404" max="6404" width="17.6640625" style="31" customWidth="1"/>
    <col min="6405" max="6406" width="15.6640625" style="31" customWidth="1"/>
    <col min="6407" max="6407" width="16.6640625" style="31" customWidth="1"/>
    <col min="6408" max="6408" width="16.33203125" style="31" customWidth="1"/>
    <col min="6409" max="6409" width="17.6640625" style="31" customWidth="1"/>
    <col min="6410" max="6410" width="14" style="31" customWidth="1"/>
    <col min="6411" max="6411" width="15" style="31" customWidth="1"/>
    <col min="6412" max="6412" width="4" style="31" customWidth="1"/>
    <col min="6413" max="6413" width="9.109375" style="31"/>
    <col min="6414" max="6414" width="11.5546875" style="31" customWidth="1"/>
    <col min="6415" max="6417" width="9.109375" style="31"/>
    <col min="6418" max="6418" width="10" style="31" bestFit="1" customWidth="1"/>
    <col min="6419" max="6419" width="13.44140625" style="31" customWidth="1"/>
    <col min="6420" max="6420" width="14.44140625" style="31" bestFit="1" customWidth="1"/>
    <col min="6421" max="6421" width="14.109375" style="31" customWidth="1"/>
    <col min="6422" max="6656" width="9.109375" style="31"/>
    <col min="6657" max="6657" width="19.88671875" style="31" customWidth="1"/>
    <col min="6658" max="6658" width="16" style="31" customWidth="1"/>
    <col min="6659" max="6659" width="15.6640625" style="31" customWidth="1"/>
    <col min="6660" max="6660" width="17.6640625" style="31" customWidth="1"/>
    <col min="6661" max="6662" width="15.6640625" style="31" customWidth="1"/>
    <col min="6663" max="6663" width="16.6640625" style="31" customWidth="1"/>
    <col min="6664" max="6664" width="16.33203125" style="31" customWidth="1"/>
    <col min="6665" max="6665" width="17.6640625" style="31" customWidth="1"/>
    <col min="6666" max="6666" width="14" style="31" customWidth="1"/>
    <col min="6667" max="6667" width="15" style="31" customWidth="1"/>
    <col min="6668" max="6668" width="4" style="31" customWidth="1"/>
    <col min="6669" max="6669" width="9.109375" style="31"/>
    <col min="6670" max="6670" width="11.5546875" style="31" customWidth="1"/>
    <col min="6671" max="6673" width="9.109375" style="31"/>
    <col min="6674" max="6674" width="10" style="31" bestFit="1" customWidth="1"/>
    <col min="6675" max="6675" width="13.44140625" style="31" customWidth="1"/>
    <col min="6676" max="6676" width="14.44140625" style="31" bestFit="1" customWidth="1"/>
    <col min="6677" max="6677" width="14.109375" style="31" customWidth="1"/>
    <col min="6678" max="6912" width="9.109375" style="31"/>
    <col min="6913" max="6913" width="19.88671875" style="31" customWidth="1"/>
    <col min="6914" max="6914" width="16" style="31" customWidth="1"/>
    <col min="6915" max="6915" width="15.6640625" style="31" customWidth="1"/>
    <col min="6916" max="6916" width="17.6640625" style="31" customWidth="1"/>
    <col min="6917" max="6918" width="15.6640625" style="31" customWidth="1"/>
    <col min="6919" max="6919" width="16.6640625" style="31" customWidth="1"/>
    <col min="6920" max="6920" width="16.33203125" style="31" customWidth="1"/>
    <col min="6921" max="6921" width="17.6640625" style="31" customWidth="1"/>
    <col min="6922" max="6922" width="14" style="31" customWidth="1"/>
    <col min="6923" max="6923" width="15" style="31" customWidth="1"/>
    <col min="6924" max="6924" width="4" style="31" customWidth="1"/>
    <col min="6925" max="6925" width="9.109375" style="31"/>
    <col min="6926" max="6926" width="11.5546875" style="31" customWidth="1"/>
    <col min="6927" max="6929" width="9.109375" style="31"/>
    <col min="6930" max="6930" width="10" style="31" bestFit="1" customWidth="1"/>
    <col min="6931" max="6931" width="13.44140625" style="31" customWidth="1"/>
    <col min="6932" max="6932" width="14.44140625" style="31" bestFit="1" customWidth="1"/>
    <col min="6933" max="6933" width="14.109375" style="31" customWidth="1"/>
    <col min="6934" max="7168" width="9.109375" style="31"/>
    <col min="7169" max="7169" width="19.88671875" style="31" customWidth="1"/>
    <col min="7170" max="7170" width="16" style="31" customWidth="1"/>
    <col min="7171" max="7171" width="15.6640625" style="31" customWidth="1"/>
    <col min="7172" max="7172" width="17.6640625" style="31" customWidth="1"/>
    <col min="7173" max="7174" width="15.6640625" style="31" customWidth="1"/>
    <col min="7175" max="7175" width="16.6640625" style="31" customWidth="1"/>
    <col min="7176" max="7176" width="16.33203125" style="31" customWidth="1"/>
    <col min="7177" max="7177" width="17.6640625" style="31" customWidth="1"/>
    <col min="7178" max="7178" width="14" style="31" customWidth="1"/>
    <col min="7179" max="7179" width="15" style="31" customWidth="1"/>
    <col min="7180" max="7180" width="4" style="31" customWidth="1"/>
    <col min="7181" max="7181" width="9.109375" style="31"/>
    <col min="7182" max="7182" width="11.5546875" style="31" customWidth="1"/>
    <col min="7183" max="7185" width="9.109375" style="31"/>
    <col min="7186" max="7186" width="10" style="31" bestFit="1" customWidth="1"/>
    <col min="7187" max="7187" width="13.44140625" style="31" customWidth="1"/>
    <col min="7188" max="7188" width="14.44140625" style="31" bestFit="1" customWidth="1"/>
    <col min="7189" max="7189" width="14.109375" style="31" customWidth="1"/>
    <col min="7190" max="7424" width="9.109375" style="31"/>
    <col min="7425" max="7425" width="19.88671875" style="31" customWidth="1"/>
    <col min="7426" max="7426" width="16" style="31" customWidth="1"/>
    <col min="7427" max="7427" width="15.6640625" style="31" customWidth="1"/>
    <col min="7428" max="7428" width="17.6640625" style="31" customWidth="1"/>
    <col min="7429" max="7430" width="15.6640625" style="31" customWidth="1"/>
    <col min="7431" max="7431" width="16.6640625" style="31" customWidth="1"/>
    <col min="7432" max="7432" width="16.33203125" style="31" customWidth="1"/>
    <col min="7433" max="7433" width="17.6640625" style="31" customWidth="1"/>
    <col min="7434" max="7434" width="14" style="31" customWidth="1"/>
    <col min="7435" max="7435" width="15" style="31" customWidth="1"/>
    <col min="7436" max="7436" width="4" style="31" customWidth="1"/>
    <col min="7437" max="7437" width="9.109375" style="31"/>
    <col min="7438" max="7438" width="11.5546875" style="31" customWidth="1"/>
    <col min="7439" max="7441" width="9.109375" style="31"/>
    <col min="7442" max="7442" width="10" style="31" bestFit="1" customWidth="1"/>
    <col min="7443" max="7443" width="13.44140625" style="31" customWidth="1"/>
    <col min="7444" max="7444" width="14.44140625" style="31" bestFit="1" customWidth="1"/>
    <col min="7445" max="7445" width="14.109375" style="31" customWidth="1"/>
    <col min="7446" max="7680" width="9.109375" style="31"/>
    <col min="7681" max="7681" width="19.88671875" style="31" customWidth="1"/>
    <col min="7682" max="7682" width="16" style="31" customWidth="1"/>
    <col min="7683" max="7683" width="15.6640625" style="31" customWidth="1"/>
    <col min="7684" max="7684" width="17.6640625" style="31" customWidth="1"/>
    <col min="7685" max="7686" width="15.6640625" style="31" customWidth="1"/>
    <col min="7687" max="7687" width="16.6640625" style="31" customWidth="1"/>
    <col min="7688" max="7688" width="16.33203125" style="31" customWidth="1"/>
    <col min="7689" max="7689" width="17.6640625" style="31" customWidth="1"/>
    <col min="7690" max="7690" width="14" style="31" customWidth="1"/>
    <col min="7691" max="7691" width="15" style="31" customWidth="1"/>
    <col min="7692" max="7692" width="4" style="31" customWidth="1"/>
    <col min="7693" max="7693" width="9.109375" style="31"/>
    <col min="7694" max="7694" width="11.5546875" style="31" customWidth="1"/>
    <col min="7695" max="7697" width="9.109375" style="31"/>
    <col min="7698" max="7698" width="10" style="31" bestFit="1" customWidth="1"/>
    <col min="7699" max="7699" width="13.44140625" style="31" customWidth="1"/>
    <col min="7700" max="7700" width="14.44140625" style="31" bestFit="1" customWidth="1"/>
    <col min="7701" max="7701" width="14.109375" style="31" customWidth="1"/>
    <col min="7702" max="7936" width="9.109375" style="31"/>
    <col min="7937" max="7937" width="19.88671875" style="31" customWidth="1"/>
    <col min="7938" max="7938" width="16" style="31" customWidth="1"/>
    <col min="7939" max="7939" width="15.6640625" style="31" customWidth="1"/>
    <col min="7940" max="7940" width="17.6640625" style="31" customWidth="1"/>
    <col min="7941" max="7942" width="15.6640625" style="31" customWidth="1"/>
    <col min="7943" max="7943" width="16.6640625" style="31" customWidth="1"/>
    <col min="7944" max="7944" width="16.33203125" style="31" customWidth="1"/>
    <col min="7945" max="7945" width="17.6640625" style="31" customWidth="1"/>
    <col min="7946" max="7946" width="14" style="31" customWidth="1"/>
    <col min="7947" max="7947" width="15" style="31" customWidth="1"/>
    <col min="7948" max="7948" width="4" style="31" customWidth="1"/>
    <col min="7949" max="7949" width="9.109375" style="31"/>
    <col min="7950" max="7950" width="11.5546875" style="31" customWidth="1"/>
    <col min="7951" max="7953" width="9.109375" style="31"/>
    <col min="7954" max="7954" width="10" style="31" bestFit="1" customWidth="1"/>
    <col min="7955" max="7955" width="13.44140625" style="31" customWidth="1"/>
    <col min="7956" max="7956" width="14.44140625" style="31" bestFit="1" customWidth="1"/>
    <col min="7957" max="7957" width="14.109375" style="31" customWidth="1"/>
    <col min="7958" max="8192" width="9.109375" style="31"/>
    <col min="8193" max="8193" width="19.88671875" style="31" customWidth="1"/>
    <col min="8194" max="8194" width="16" style="31" customWidth="1"/>
    <col min="8195" max="8195" width="15.6640625" style="31" customWidth="1"/>
    <col min="8196" max="8196" width="17.6640625" style="31" customWidth="1"/>
    <col min="8197" max="8198" width="15.6640625" style="31" customWidth="1"/>
    <col min="8199" max="8199" width="16.6640625" style="31" customWidth="1"/>
    <col min="8200" max="8200" width="16.33203125" style="31" customWidth="1"/>
    <col min="8201" max="8201" width="17.6640625" style="31" customWidth="1"/>
    <col min="8202" max="8202" width="14" style="31" customWidth="1"/>
    <col min="8203" max="8203" width="15" style="31" customWidth="1"/>
    <col min="8204" max="8204" width="4" style="31" customWidth="1"/>
    <col min="8205" max="8205" width="9.109375" style="31"/>
    <col min="8206" max="8206" width="11.5546875" style="31" customWidth="1"/>
    <col min="8207" max="8209" width="9.109375" style="31"/>
    <col min="8210" max="8210" width="10" style="31" bestFit="1" customWidth="1"/>
    <col min="8211" max="8211" width="13.44140625" style="31" customWidth="1"/>
    <col min="8212" max="8212" width="14.44140625" style="31" bestFit="1" customWidth="1"/>
    <col min="8213" max="8213" width="14.109375" style="31" customWidth="1"/>
    <col min="8214" max="8448" width="9.109375" style="31"/>
    <col min="8449" max="8449" width="19.88671875" style="31" customWidth="1"/>
    <col min="8450" max="8450" width="16" style="31" customWidth="1"/>
    <col min="8451" max="8451" width="15.6640625" style="31" customWidth="1"/>
    <col min="8452" max="8452" width="17.6640625" style="31" customWidth="1"/>
    <col min="8453" max="8454" width="15.6640625" style="31" customWidth="1"/>
    <col min="8455" max="8455" width="16.6640625" style="31" customWidth="1"/>
    <col min="8456" max="8456" width="16.33203125" style="31" customWidth="1"/>
    <col min="8457" max="8457" width="17.6640625" style="31" customWidth="1"/>
    <col min="8458" max="8458" width="14" style="31" customWidth="1"/>
    <col min="8459" max="8459" width="15" style="31" customWidth="1"/>
    <col min="8460" max="8460" width="4" style="31" customWidth="1"/>
    <col min="8461" max="8461" width="9.109375" style="31"/>
    <col min="8462" max="8462" width="11.5546875" style="31" customWidth="1"/>
    <col min="8463" max="8465" width="9.109375" style="31"/>
    <col min="8466" max="8466" width="10" style="31" bestFit="1" customWidth="1"/>
    <col min="8467" max="8467" width="13.44140625" style="31" customWidth="1"/>
    <col min="8468" max="8468" width="14.44140625" style="31" bestFit="1" customWidth="1"/>
    <col min="8469" max="8469" width="14.109375" style="31" customWidth="1"/>
    <col min="8470" max="8704" width="9.109375" style="31"/>
    <col min="8705" max="8705" width="19.88671875" style="31" customWidth="1"/>
    <col min="8706" max="8706" width="16" style="31" customWidth="1"/>
    <col min="8707" max="8707" width="15.6640625" style="31" customWidth="1"/>
    <col min="8708" max="8708" width="17.6640625" style="31" customWidth="1"/>
    <col min="8709" max="8710" width="15.6640625" style="31" customWidth="1"/>
    <col min="8711" max="8711" width="16.6640625" style="31" customWidth="1"/>
    <col min="8712" max="8712" width="16.33203125" style="31" customWidth="1"/>
    <col min="8713" max="8713" width="17.6640625" style="31" customWidth="1"/>
    <col min="8714" max="8714" width="14" style="31" customWidth="1"/>
    <col min="8715" max="8715" width="15" style="31" customWidth="1"/>
    <col min="8716" max="8716" width="4" style="31" customWidth="1"/>
    <col min="8717" max="8717" width="9.109375" style="31"/>
    <col min="8718" max="8718" width="11.5546875" style="31" customWidth="1"/>
    <col min="8719" max="8721" width="9.109375" style="31"/>
    <col min="8722" max="8722" width="10" style="31" bestFit="1" customWidth="1"/>
    <col min="8723" max="8723" width="13.44140625" style="31" customWidth="1"/>
    <col min="8724" max="8724" width="14.44140625" style="31" bestFit="1" customWidth="1"/>
    <col min="8725" max="8725" width="14.109375" style="31" customWidth="1"/>
    <col min="8726" max="8960" width="9.109375" style="31"/>
    <col min="8961" max="8961" width="19.88671875" style="31" customWidth="1"/>
    <col min="8962" max="8962" width="16" style="31" customWidth="1"/>
    <col min="8963" max="8963" width="15.6640625" style="31" customWidth="1"/>
    <col min="8964" max="8964" width="17.6640625" style="31" customWidth="1"/>
    <col min="8965" max="8966" width="15.6640625" style="31" customWidth="1"/>
    <col min="8967" max="8967" width="16.6640625" style="31" customWidth="1"/>
    <col min="8968" max="8968" width="16.33203125" style="31" customWidth="1"/>
    <col min="8969" max="8969" width="17.6640625" style="31" customWidth="1"/>
    <col min="8970" max="8970" width="14" style="31" customWidth="1"/>
    <col min="8971" max="8971" width="15" style="31" customWidth="1"/>
    <col min="8972" max="8972" width="4" style="31" customWidth="1"/>
    <col min="8973" max="8973" width="9.109375" style="31"/>
    <col min="8974" max="8974" width="11.5546875" style="31" customWidth="1"/>
    <col min="8975" max="8977" width="9.109375" style="31"/>
    <col min="8978" max="8978" width="10" style="31" bestFit="1" customWidth="1"/>
    <col min="8979" max="8979" width="13.44140625" style="31" customWidth="1"/>
    <col min="8980" max="8980" width="14.44140625" style="31" bestFit="1" customWidth="1"/>
    <col min="8981" max="8981" width="14.109375" style="31" customWidth="1"/>
    <col min="8982" max="9216" width="9.109375" style="31"/>
    <col min="9217" max="9217" width="19.88671875" style="31" customWidth="1"/>
    <col min="9218" max="9218" width="16" style="31" customWidth="1"/>
    <col min="9219" max="9219" width="15.6640625" style="31" customWidth="1"/>
    <col min="9220" max="9220" width="17.6640625" style="31" customWidth="1"/>
    <col min="9221" max="9222" width="15.6640625" style="31" customWidth="1"/>
    <col min="9223" max="9223" width="16.6640625" style="31" customWidth="1"/>
    <col min="9224" max="9224" width="16.33203125" style="31" customWidth="1"/>
    <col min="9225" max="9225" width="17.6640625" style="31" customWidth="1"/>
    <col min="9226" max="9226" width="14" style="31" customWidth="1"/>
    <col min="9227" max="9227" width="15" style="31" customWidth="1"/>
    <col min="9228" max="9228" width="4" style="31" customWidth="1"/>
    <col min="9229" max="9229" width="9.109375" style="31"/>
    <col min="9230" max="9230" width="11.5546875" style="31" customWidth="1"/>
    <col min="9231" max="9233" width="9.109375" style="31"/>
    <col min="9234" max="9234" width="10" style="31" bestFit="1" customWidth="1"/>
    <col min="9235" max="9235" width="13.44140625" style="31" customWidth="1"/>
    <col min="9236" max="9236" width="14.44140625" style="31" bestFit="1" customWidth="1"/>
    <col min="9237" max="9237" width="14.109375" style="31" customWidth="1"/>
    <col min="9238" max="9472" width="9.109375" style="31"/>
    <col min="9473" max="9473" width="19.88671875" style="31" customWidth="1"/>
    <col min="9474" max="9474" width="16" style="31" customWidth="1"/>
    <col min="9475" max="9475" width="15.6640625" style="31" customWidth="1"/>
    <col min="9476" max="9476" width="17.6640625" style="31" customWidth="1"/>
    <col min="9477" max="9478" width="15.6640625" style="31" customWidth="1"/>
    <col min="9479" max="9479" width="16.6640625" style="31" customWidth="1"/>
    <col min="9480" max="9480" width="16.33203125" style="31" customWidth="1"/>
    <col min="9481" max="9481" width="17.6640625" style="31" customWidth="1"/>
    <col min="9482" max="9482" width="14" style="31" customWidth="1"/>
    <col min="9483" max="9483" width="15" style="31" customWidth="1"/>
    <col min="9484" max="9484" width="4" style="31" customWidth="1"/>
    <col min="9485" max="9485" width="9.109375" style="31"/>
    <col min="9486" max="9486" width="11.5546875" style="31" customWidth="1"/>
    <col min="9487" max="9489" width="9.109375" style="31"/>
    <col min="9490" max="9490" width="10" style="31" bestFit="1" customWidth="1"/>
    <col min="9491" max="9491" width="13.44140625" style="31" customWidth="1"/>
    <col min="9492" max="9492" width="14.44140625" style="31" bestFit="1" customWidth="1"/>
    <col min="9493" max="9493" width="14.109375" style="31" customWidth="1"/>
    <col min="9494" max="9728" width="9.109375" style="31"/>
    <col min="9729" max="9729" width="19.88671875" style="31" customWidth="1"/>
    <col min="9730" max="9730" width="16" style="31" customWidth="1"/>
    <col min="9731" max="9731" width="15.6640625" style="31" customWidth="1"/>
    <col min="9732" max="9732" width="17.6640625" style="31" customWidth="1"/>
    <col min="9733" max="9734" width="15.6640625" style="31" customWidth="1"/>
    <col min="9735" max="9735" width="16.6640625" style="31" customWidth="1"/>
    <col min="9736" max="9736" width="16.33203125" style="31" customWidth="1"/>
    <col min="9737" max="9737" width="17.6640625" style="31" customWidth="1"/>
    <col min="9738" max="9738" width="14" style="31" customWidth="1"/>
    <col min="9739" max="9739" width="15" style="31" customWidth="1"/>
    <col min="9740" max="9740" width="4" style="31" customWidth="1"/>
    <col min="9741" max="9741" width="9.109375" style="31"/>
    <col min="9742" max="9742" width="11.5546875" style="31" customWidth="1"/>
    <col min="9743" max="9745" width="9.109375" style="31"/>
    <col min="9746" max="9746" width="10" style="31" bestFit="1" customWidth="1"/>
    <col min="9747" max="9747" width="13.44140625" style="31" customWidth="1"/>
    <col min="9748" max="9748" width="14.44140625" style="31" bestFit="1" customWidth="1"/>
    <col min="9749" max="9749" width="14.109375" style="31" customWidth="1"/>
    <col min="9750" max="9984" width="9.109375" style="31"/>
    <col min="9985" max="9985" width="19.88671875" style="31" customWidth="1"/>
    <col min="9986" max="9986" width="16" style="31" customWidth="1"/>
    <col min="9987" max="9987" width="15.6640625" style="31" customWidth="1"/>
    <col min="9988" max="9988" width="17.6640625" style="31" customWidth="1"/>
    <col min="9989" max="9990" width="15.6640625" style="31" customWidth="1"/>
    <col min="9991" max="9991" width="16.6640625" style="31" customWidth="1"/>
    <col min="9992" max="9992" width="16.33203125" style="31" customWidth="1"/>
    <col min="9993" max="9993" width="17.6640625" style="31" customWidth="1"/>
    <col min="9994" max="9994" width="14" style="31" customWidth="1"/>
    <col min="9995" max="9995" width="15" style="31" customWidth="1"/>
    <col min="9996" max="9996" width="4" style="31" customWidth="1"/>
    <col min="9997" max="9997" width="9.109375" style="31"/>
    <col min="9998" max="9998" width="11.5546875" style="31" customWidth="1"/>
    <col min="9999" max="10001" width="9.109375" style="31"/>
    <col min="10002" max="10002" width="10" style="31" bestFit="1" customWidth="1"/>
    <col min="10003" max="10003" width="13.44140625" style="31" customWidth="1"/>
    <col min="10004" max="10004" width="14.44140625" style="31" bestFit="1" customWidth="1"/>
    <col min="10005" max="10005" width="14.109375" style="31" customWidth="1"/>
    <col min="10006" max="10240" width="9.109375" style="31"/>
    <col min="10241" max="10241" width="19.88671875" style="31" customWidth="1"/>
    <col min="10242" max="10242" width="16" style="31" customWidth="1"/>
    <col min="10243" max="10243" width="15.6640625" style="31" customWidth="1"/>
    <col min="10244" max="10244" width="17.6640625" style="31" customWidth="1"/>
    <col min="10245" max="10246" width="15.6640625" style="31" customWidth="1"/>
    <col min="10247" max="10247" width="16.6640625" style="31" customWidth="1"/>
    <col min="10248" max="10248" width="16.33203125" style="31" customWidth="1"/>
    <col min="10249" max="10249" width="17.6640625" style="31" customWidth="1"/>
    <col min="10250" max="10250" width="14" style="31" customWidth="1"/>
    <col min="10251" max="10251" width="15" style="31" customWidth="1"/>
    <col min="10252" max="10252" width="4" style="31" customWidth="1"/>
    <col min="10253" max="10253" width="9.109375" style="31"/>
    <col min="10254" max="10254" width="11.5546875" style="31" customWidth="1"/>
    <col min="10255" max="10257" width="9.109375" style="31"/>
    <col min="10258" max="10258" width="10" style="31" bestFit="1" customWidth="1"/>
    <col min="10259" max="10259" width="13.44140625" style="31" customWidth="1"/>
    <col min="10260" max="10260" width="14.44140625" style="31" bestFit="1" customWidth="1"/>
    <col min="10261" max="10261" width="14.109375" style="31" customWidth="1"/>
    <col min="10262" max="10496" width="9.109375" style="31"/>
    <col min="10497" max="10497" width="19.88671875" style="31" customWidth="1"/>
    <col min="10498" max="10498" width="16" style="31" customWidth="1"/>
    <col min="10499" max="10499" width="15.6640625" style="31" customWidth="1"/>
    <col min="10500" max="10500" width="17.6640625" style="31" customWidth="1"/>
    <col min="10501" max="10502" width="15.6640625" style="31" customWidth="1"/>
    <col min="10503" max="10503" width="16.6640625" style="31" customWidth="1"/>
    <col min="10504" max="10504" width="16.33203125" style="31" customWidth="1"/>
    <col min="10505" max="10505" width="17.6640625" style="31" customWidth="1"/>
    <col min="10506" max="10506" width="14" style="31" customWidth="1"/>
    <col min="10507" max="10507" width="15" style="31" customWidth="1"/>
    <col min="10508" max="10508" width="4" style="31" customWidth="1"/>
    <col min="10509" max="10509" width="9.109375" style="31"/>
    <col min="10510" max="10510" width="11.5546875" style="31" customWidth="1"/>
    <col min="10511" max="10513" width="9.109375" style="31"/>
    <col min="10514" max="10514" width="10" style="31" bestFit="1" customWidth="1"/>
    <col min="10515" max="10515" width="13.44140625" style="31" customWidth="1"/>
    <col min="10516" max="10516" width="14.44140625" style="31" bestFit="1" customWidth="1"/>
    <col min="10517" max="10517" width="14.109375" style="31" customWidth="1"/>
    <col min="10518" max="10752" width="9.109375" style="31"/>
    <col min="10753" max="10753" width="19.88671875" style="31" customWidth="1"/>
    <col min="10754" max="10754" width="16" style="31" customWidth="1"/>
    <col min="10755" max="10755" width="15.6640625" style="31" customWidth="1"/>
    <col min="10756" max="10756" width="17.6640625" style="31" customWidth="1"/>
    <col min="10757" max="10758" width="15.6640625" style="31" customWidth="1"/>
    <col min="10759" max="10759" width="16.6640625" style="31" customWidth="1"/>
    <col min="10760" max="10760" width="16.33203125" style="31" customWidth="1"/>
    <col min="10761" max="10761" width="17.6640625" style="31" customWidth="1"/>
    <col min="10762" max="10762" width="14" style="31" customWidth="1"/>
    <col min="10763" max="10763" width="15" style="31" customWidth="1"/>
    <col min="10764" max="10764" width="4" style="31" customWidth="1"/>
    <col min="10765" max="10765" width="9.109375" style="31"/>
    <col min="10766" max="10766" width="11.5546875" style="31" customWidth="1"/>
    <col min="10767" max="10769" width="9.109375" style="31"/>
    <col min="10770" max="10770" width="10" style="31" bestFit="1" customWidth="1"/>
    <col min="10771" max="10771" width="13.44140625" style="31" customWidth="1"/>
    <col min="10772" max="10772" width="14.44140625" style="31" bestFit="1" customWidth="1"/>
    <col min="10773" max="10773" width="14.109375" style="31" customWidth="1"/>
    <col min="10774" max="11008" width="9.109375" style="31"/>
    <col min="11009" max="11009" width="19.88671875" style="31" customWidth="1"/>
    <col min="11010" max="11010" width="16" style="31" customWidth="1"/>
    <col min="11011" max="11011" width="15.6640625" style="31" customWidth="1"/>
    <col min="11012" max="11012" width="17.6640625" style="31" customWidth="1"/>
    <col min="11013" max="11014" width="15.6640625" style="31" customWidth="1"/>
    <col min="11015" max="11015" width="16.6640625" style="31" customWidth="1"/>
    <col min="11016" max="11016" width="16.33203125" style="31" customWidth="1"/>
    <col min="11017" max="11017" width="17.6640625" style="31" customWidth="1"/>
    <col min="11018" max="11018" width="14" style="31" customWidth="1"/>
    <col min="11019" max="11019" width="15" style="31" customWidth="1"/>
    <col min="11020" max="11020" width="4" style="31" customWidth="1"/>
    <col min="11021" max="11021" width="9.109375" style="31"/>
    <col min="11022" max="11022" width="11.5546875" style="31" customWidth="1"/>
    <col min="11023" max="11025" width="9.109375" style="31"/>
    <col min="11026" max="11026" width="10" style="31" bestFit="1" customWidth="1"/>
    <col min="11027" max="11027" width="13.44140625" style="31" customWidth="1"/>
    <col min="11028" max="11028" width="14.44140625" style="31" bestFit="1" customWidth="1"/>
    <col min="11029" max="11029" width="14.109375" style="31" customWidth="1"/>
    <col min="11030" max="11264" width="9.109375" style="31"/>
    <col min="11265" max="11265" width="19.88671875" style="31" customWidth="1"/>
    <col min="11266" max="11266" width="16" style="31" customWidth="1"/>
    <col min="11267" max="11267" width="15.6640625" style="31" customWidth="1"/>
    <col min="11268" max="11268" width="17.6640625" style="31" customWidth="1"/>
    <col min="11269" max="11270" width="15.6640625" style="31" customWidth="1"/>
    <col min="11271" max="11271" width="16.6640625" style="31" customWidth="1"/>
    <col min="11272" max="11272" width="16.33203125" style="31" customWidth="1"/>
    <col min="11273" max="11273" width="17.6640625" style="31" customWidth="1"/>
    <col min="11274" max="11274" width="14" style="31" customWidth="1"/>
    <col min="11275" max="11275" width="15" style="31" customWidth="1"/>
    <col min="11276" max="11276" width="4" style="31" customWidth="1"/>
    <col min="11277" max="11277" width="9.109375" style="31"/>
    <col min="11278" max="11278" width="11.5546875" style="31" customWidth="1"/>
    <col min="11279" max="11281" width="9.109375" style="31"/>
    <col min="11282" max="11282" width="10" style="31" bestFit="1" customWidth="1"/>
    <col min="11283" max="11283" width="13.44140625" style="31" customWidth="1"/>
    <col min="11284" max="11284" width="14.44140625" style="31" bestFit="1" customWidth="1"/>
    <col min="11285" max="11285" width="14.109375" style="31" customWidth="1"/>
    <col min="11286" max="11520" width="9.109375" style="31"/>
    <col min="11521" max="11521" width="19.88671875" style="31" customWidth="1"/>
    <col min="11522" max="11522" width="16" style="31" customWidth="1"/>
    <col min="11523" max="11523" width="15.6640625" style="31" customWidth="1"/>
    <col min="11524" max="11524" width="17.6640625" style="31" customWidth="1"/>
    <col min="11525" max="11526" width="15.6640625" style="31" customWidth="1"/>
    <col min="11527" max="11527" width="16.6640625" style="31" customWidth="1"/>
    <col min="11528" max="11528" width="16.33203125" style="31" customWidth="1"/>
    <col min="11529" max="11529" width="17.6640625" style="31" customWidth="1"/>
    <col min="11530" max="11530" width="14" style="31" customWidth="1"/>
    <col min="11531" max="11531" width="15" style="31" customWidth="1"/>
    <col min="11532" max="11532" width="4" style="31" customWidth="1"/>
    <col min="11533" max="11533" width="9.109375" style="31"/>
    <col min="11534" max="11534" width="11.5546875" style="31" customWidth="1"/>
    <col min="11535" max="11537" width="9.109375" style="31"/>
    <col min="11538" max="11538" width="10" style="31" bestFit="1" customWidth="1"/>
    <col min="11539" max="11539" width="13.44140625" style="31" customWidth="1"/>
    <col min="11540" max="11540" width="14.44140625" style="31" bestFit="1" customWidth="1"/>
    <col min="11541" max="11541" width="14.109375" style="31" customWidth="1"/>
    <col min="11542" max="11776" width="9.109375" style="31"/>
    <col min="11777" max="11777" width="19.88671875" style="31" customWidth="1"/>
    <col min="11778" max="11778" width="16" style="31" customWidth="1"/>
    <col min="11779" max="11779" width="15.6640625" style="31" customWidth="1"/>
    <col min="11780" max="11780" width="17.6640625" style="31" customWidth="1"/>
    <col min="11781" max="11782" width="15.6640625" style="31" customWidth="1"/>
    <col min="11783" max="11783" width="16.6640625" style="31" customWidth="1"/>
    <col min="11784" max="11784" width="16.33203125" style="31" customWidth="1"/>
    <col min="11785" max="11785" width="17.6640625" style="31" customWidth="1"/>
    <col min="11786" max="11786" width="14" style="31" customWidth="1"/>
    <col min="11787" max="11787" width="15" style="31" customWidth="1"/>
    <col min="11788" max="11788" width="4" style="31" customWidth="1"/>
    <col min="11789" max="11789" width="9.109375" style="31"/>
    <col min="11790" max="11790" width="11.5546875" style="31" customWidth="1"/>
    <col min="11791" max="11793" width="9.109375" style="31"/>
    <col min="11794" max="11794" width="10" style="31" bestFit="1" customWidth="1"/>
    <col min="11795" max="11795" width="13.44140625" style="31" customWidth="1"/>
    <col min="11796" max="11796" width="14.44140625" style="31" bestFit="1" customWidth="1"/>
    <col min="11797" max="11797" width="14.109375" style="31" customWidth="1"/>
    <col min="11798" max="12032" width="9.109375" style="31"/>
    <col min="12033" max="12033" width="19.88671875" style="31" customWidth="1"/>
    <col min="12034" max="12034" width="16" style="31" customWidth="1"/>
    <col min="12035" max="12035" width="15.6640625" style="31" customWidth="1"/>
    <col min="12036" max="12036" width="17.6640625" style="31" customWidth="1"/>
    <col min="12037" max="12038" width="15.6640625" style="31" customWidth="1"/>
    <col min="12039" max="12039" width="16.6640625" style="31" customWidth="1"/>
    <col min="12040" max="12040" width="16.33203125" style="31" customWidth="1"/>
    <col min="12041" max="12041" width="17.6640625" style="31" customWidth="1"/>
    <col min="12042" max="12042" width="14" style="31" customWidth="1"/>
    <col min="12043" max="12043" width="15" style="31" customWidth="1"/>
    <col min="12044" max="12044" width="4" style="31" customWidth="1"/>
    <col min="12045" max="12045" width="9.109375" style="31"/>
    <col min="12046" max="12046" width="11.5546875" style="31" customWidth="1"/>
    <col min="12047" max="12049" width="9.109375" style="31"/>
    <col min="12050" max="12050" width="10" style="31" bestFit="1" customWidth="1"/>
    <col min="12051" max="12051" width="13.44140625" style="31" customWidth="1"/>
    <col min="12052" max="12052" width="14.44140625" style="31" bestFit="1" customWidth="1"/>
    <col min="12053" max="12053" width="14.109375" style="31" customWidth="1"/>
    <col min="12054" max="12288" width="9.109375" style="31"/>
    <col min="12289" max="12289" width="19.88671875" style="31" customWidth="1"/>
    <col min="12290" max="12290" width="16" style="31" customWidth="1"/>
    <col min="12291" max="12291" width="15.6640625" style="31" customWidth="1"/>
    <col min="12292" max="12292" width="17.6640625" style="31" customWidth="1"/>
    <col min="12293" max="12294" width="15.6640625" style="31" customWidth="1"/>
    <col min="12295" max="12295" width="16.6640625" style="31" customWidth="1"/>
    <col min="12296" max="12296" width="16.33203125" style="31" customWidth="1"/>
    <col min="12297" max="12297" width="17.6640625" style="31" customWidth="1"/>
    <col min="12298" max="12298" width="14" style="31" customWidth="1"/>
    <col min="12299" max="12299" width="15" style="31" customWidth="1"/>
    <col min="12300" max="12300" width="4" style="31" customWidth="1"/>
    <col min="12301" max="12301" width="9.109375" style="31"/>
    <col min="12302" max="12302" width="11.5546875" style="31" customWidth="1"/>
    <col min="12303" max="12305" width="9.109375" style="31"/>
    <col min="12306" max="12306" width="10" style="31" bestFit="1" customWidth="1"/>
    <col min="12307" max="12307" width="13.44140625" style="31" customWidth="1"/>
    <col min="12308" max="12308" width="14.44140625" style="31" bestFit="1" customWidth="1"/>
    <col min="12309" max="12309" width="14.109375" style="31" customWidth="1"/>
    <col min="12310" max="12544" width="9.109375" style="31"/>
    <col min="12545" max="12545" width="19.88671875" style="31" customWidth="1"/>
    <col min="12546" max="12546" width="16" style="31" customWidth="1"/>
    <col min="12547" max="12547" width="15.6640625" style="31" customWidth="1"/>
    <col min="12548" max="12548" width="17.6640625" style="31" customWidth="1"/>
    <col min="12549" max="12550" width="15.6640625" style="31" customWidth="1"/>
    <col min="12551" max="12551" width="16.6640625" style="31" customWidth="1"/>
    <col min="12552" max="12552" width="16.33203125" style="31" customWidth="1"/>
    <col min="12553" max="12553" width="17.6640625" style="31" customWidth="1"/>
    <col min="12554" max="12554" width="14" style="31" customWidth="1"/>
    <col min="12555" max="12555" width="15" style="31" customWidth="1"/>
    <col min="12556" max="12556" width="4" style="31" customWidth="1"/>
    <col min="12557" max="12557" width="9.109375" style="31"/>
    <col min="12558" max="12558" width="11.5546875" style="31" customWidth="1"/>
    <col min="12559" max="12561" width="9.109375" style="31"/>
    <col min="12562" max="12562" width="10" style="31" bestFit="1" customWidth="1"/>
    <col min="12563" max="12563" width="13.44140625" style="31" customWidth="1"/>
    <col min="12564" max="12564" width="14.44140625" style="31" bestFit="1" customWidth="1"/>
    <col min="12565" max="12565" width="14.109375" style="31" customWidth="1"/>
    <col min="12566" max="12800" width="9.109375" style="31"/>
    <col min="12801" max="12801" width="19.88671875" style="31" customWidth="1"/>
    <col min="12802" max="12802" width="16" style="31" customWidth="1"/>
    <col min="12803" max="12803" width="15.6640625" style="31" customWidth="1"/>
    <col min="12804" max="12804" width="17.6640625" style="31" customWidth="1"/>
    <col min="12805" max="12806" width="15.6640625" style="31" customWidth="1"/>
    <col min="12807" max="12807" width="16.6640625" style="31" customWidth="1"/>
    <col min="12808" max="12808" width="16.33203125" style="31" customWidth="1"/>
    <col min="12809" max="12809" width="17.6640625" style="31" customWidth="1"/>
    <col min="12810" max="12810" width="14" style="31" customWidth="1"/>
    <col min="12811" max="12811" width="15" style="31" customWidth="1"/>
    <col min="12812" max="12812" width="4" style="31" customWidth="1"/>
    <col min="12813" max="12813" width="9.109375" style="31"/>
    <col min="12814" max="12814" width="11.5546875" style="31" customWidth="1"/>
    <col min="12815" max="12817" width="9.109375" style="31"/>
    <col min="12818" max="12818" width="10" style="31" bestFit="1" customWidth="1"/>
    <col min="12819" max="12819" width="13.44140625" style="31" customWidth="1"/>
    <col min="12820" max="12820" width="14.44140625" style="31" bestFit="1" customWidth="1"/>
    <col min="12821" max="12821" width="14.109375" style="31" customWidth="1"/>
    <col min="12822" max="13056" width="9.109375" style="31"/>
    <col min="13057" max="13057" width="19.88671875" style="31" customWidth="1"/>
    <col min="13058" max="13058" width="16" style="31" customWidth="1"/>
    <col min="13059" max="13059" width="15.6640625" style="31" customWidth="1"/>
    <col min="13060" max="13060" width="17.6640625" style="31" customWidth="1"/>
    <col min="13061" max="13062" width="15.6640625" style="31" customWidth="1"/>
    <col min="13063" max="13063" width="16.6640625" style="31" customWidth="1"/>
    <col min="13064" max="13064" width="16.33203125" style="31" customWidth="1"/>
    <col min="13065" max="13065" width="17.6640625" style="31" customWidth="1"/>
    <col min="13066" max="13066" width="14" style="31" customWidth="1"/>
    <col min="13067" max="13067" width="15" style="31" customWidth="1"/>
    <col min="13068" max="13068" width="4" style="31" customWidth="1"/>
    <col min="13069" max="13069" width="9.109375" style="31"/>
    <col min="13070" max="13070" width="11.5546875" style="31" customWidth="1"/>
    <col min="13071" max="13073" width="9.109375" style="31"/>
    <col min="13074" max="13074" width="10" style="31" bestFit="1" customWidth="1"/>
    <col min="13075" max="13075" width="13.44140625" style="31" customWidth="1"/>
    <col min="13076" max="13076" width="14.44140625" style="31" bestFit="1" customWidth="1"/>
    <col min="13077" max="13077" width="14.109375" style="31" customWidth="1"/>
    <col min="13078" max="13312" width="9.109375" style="31"/>
    <col min="13313" max="13313" width="19.88671875" style="31" customWidth="1"/>
    <col min="13314" max="13314" width="16" style="31" customWidth="1"/>
    <col min="13315" max="13315" width="15.6640625" style="31" customWidth="1"/>
    <col min="13316" max="13316" width="17.6640625" style="31" customWidth="1"/>
    <col min="13317" max="13318" width="15.6640625" style="31" customWidth="1"/>
    <col min="13319" max="13319" width="16.6640625" style="31" customWidth="1"/>
    <col min="13320" max="13320" width="16.33203125" style="31" customWidth="1"/>
    <col min="13321" max="13321" width="17.6640625" style="31" customWidth="1"/>
    <col min="13322" max="13322" width="14" style="31" customWidth="1"/>
    <col min="13323" max="13323" width="15" style="31" customWidth="1"/>
    <col min="13324" max="13324" width="4" style="31" customWidth="1"/>
    <col min="13325" max="13325" width="9.109375" style="31"/>
    <col min="13326" max="13326" width="11.5546875" style="31" customWidth="1"/>
    <col min="13327" max="13329" width="9.109375" style="31"/>
    <col min="13330" max="13330" width="10" style="31" bestFit="1" customWidth="1"/>
    <col min="13331" max="13331" width="13.44140625" style="31" customWidth="1"/>
    <col min="13332" max="13332" width="14.44140625" style="31" bestFit="1" customWidth="1"/>
    <col min="13333" max="13333" width="14.109375" style="31" customWidth="1"/>
    <col min="13334" max="13568" width="9.109375" style="31"/>
    <col min="13569" max="13569" width="19.88671875" style="31" customWidth="1"/>
    <col min="13570" max="13570" width="16" style="31" customWidth="1"/>
    <col min="13571" max="13571" width="15.6640625" style="31" customWidth="1"/>
    <col min="13572" max="13572" width="17.6640625" style="31" customWidth="1"/>
    <col min="13573" max="13574" width="15.6640625" style="31" customWidth="1"/>
    <col min="13575" max="13575" width="16.6640625" style="31" customWidth="1"/>
    <col min="13576" max="13576" width="16.33203125" style="31" customWidth="1"/>
    <col min="13577" max="13577" width="17.6640625" style="31" customWidth="1"/>
    <col min="13578" max="13578" width="14" style="31" customWidth="1"/>
    <col min="13579" max="13579" width="15" style="31" customWidth="1"/>
    <col min="13580" max="13580" width="4" style="31" customWidth="1"/>
    <col min="13581" max="13581" width="9.109375" style="31"/>
    <col min="13582" max="13582" width="11.5546875" style="31" customWidth="1"/>
    <col min="13583" max="13585" width="9.109375" style="31"/>
    <col min="13586" max="13586" width="10" style="31" bestFit="1" customWidth="1"/>
    <col min="13587" max="13587" width="13.44140625" style="31" customWidth="1"/>
    <col min="13588" max="13588" width="14.44140625" style="31" bestFit="1" customWidth="1"/>
    <col min="13589" max="13589" width="14.109375" style="31" customWidth="1"/>
    <col min="13590" max="13824" width="9.109375" style="31"/>
    <col min="13825" max="13825" width="19.88671875" style="31" customWidth="1"/>
    <col min="13826" max="13826" width="16" style="31" customWidth="1"/>
    <col min="13827" max="13827" width="15.6640625" style="31" customWidth="1"/>
    <col min="13828" max="13828" width="17.6640625" style="31" customWidth="1"/>
    <col min="13829" max="13830" width="15.6640625" style="31" customWidth="1"/>
    <col min="13831" max="13831" width="16.6640625" style="31" customWidth="1"/>
    <col min="13832" max="13832" width="16.33203125" style="31" customWidth="1"/>
    <col min="13833" max="13833" width="17.6640625" style="31" customWidth="1"/>
    <col min="13834" max="13834" width="14" style="31" customWidth="1"/>
    <col min="13835" max="13835" width="15" style="31" customWidth="1"/>
    <col min="13836" max="13836" width="4" style="31" customWidth="1"/>
    <col min="13837" max="13837" width="9.109375" style="31"/>
    <col min="13838" max="13838" width="11.5546875" style="31" customWidth="1"/>
    <col min="13839" max="13841" width="9.109375" style="31"/>
    <col min="13842" max="13842" width="10" style="31" bestFit="1" customWidth="1"/>
    <col min="13843" max="13843" width="13.44140625" style="31" customWidth="1"/>
    <col min="13844" max="13844" width="14.44140625" style="31" bestFit="1" customWidth="1"/>
    <col min="13845" max="13845" width="14.109375" style="31" customWidth="1"/>
    <col min="13846" max="14080" width="9.109375" style="31"/>
    <col min="14081" max="14081" width="19.88671875" style="31" customWidth="1"/>
    <col min="14082" max="14082" width="16" style="31" customWidth="1"/>
    <col min="14083" max="14083" width="15.6640625" style="31" customWidth="1"/>
    <col min="14084" max="14084" width="17.6640625" style="31" customWidth="1"/>
    <col min="14085" max="14086" width="15.6640625" style="31" customWidth="1"/>
    <col min="14087" max="14087" width="16.6640625" style="31" customWidth="1"/>
    <col min="14088" max="14088" width="16.33203125" style="31" customWidth="1"/>
    <col min="14089" max="14089" width="17.6640625" style="31" customWidth="1"/>
    <col min="14090" max="14090" width="14" style="31" customWidth="1"/>
    <col min="14091" max="14091" width="15" style="31" customWidth="1"/>
    <col min="14092" max="14092" width="4" style="31" customWidth="1"/>
    <col min="14093" max="14093" width="9.109375" style="31"/>
    <col min="14094" max="14094" width="11.5546875" style="31" customWidth="1"/>
    <col min="14095" max="14097" width="9.109375" style="31"/>
    <col min="14098" max="14098" width="10" style="31" bestFit="1" customWidth="1"/>
    <col min="14099" max="14099" width="13.44140625" style="31" customWidth="1"/>
    <col min="14100" max="14100" width="14.44140625" style="31" bestFit="1" customWidth="1"/>
    <col min="14101" max="14101" width="14.109375" style="31" customWidth="1"/>
    <col min="14102" max="14336" width="9.109375" style="31"/>
    <col min="14337" max="14337" width="19.88671875" style="31" customWidth="1"/>
    <col min="14338" max="14338" width="16" style="31" customWidth="1"/>
    <col min="14339" max="14339" width="15.6640625" style="31" customWidth="1"/>
    <col min="14340" max="14340" width="17.6640625" style="31" customWidth="1"/>
    <col min="14341" max="14342" width="15.6640625" style="31" customWidth="1"/>
    <col min="14343" max="14343" width="16.6640625" style="31" customWidth="1"/>
    <col min="14344" max="14344" width="16.33203125" style="31" customWidth="1"/>
    <col min="14345" max="14345" width="17.6640625" style="31" customWidth="1"/>
    <col min="14346" max="14346" width="14" style="31" customWidth="1"/>
    <col min="14347" max="14347" width="15" style="31" customWidth="1"/>
    <col min="14348" max="14348" width="4" style="31" customWidth="1"/>
    <col min="14349" max="14349" width="9.109375" style="31"/>
    <col min="14350" max="14350" width="11.5546875" style="31" customWidth="1"/>
    <col min="14351" max="14353" width="9.109375" style="31"/>
    <col min="14354" max="14354" width="10" style="31" bestFit="1" customWidth="1"/>
    <col min="14355" max="14355" width="13.44140625" style="31" customWidth="1"/>
    <col min="14356" max="14356" width="14.44140625" style="31" bestFit="1" customWidth="1"/>
    <col min="14357" max="14357" width="14.109375" style="31" customWidth="1"/>
    <col min="14358" max="14592" width="9.109375" style="31"/>
    <col min="14593" max="14593" width="19.88671875" style="31" customWidth="1"/>
    <col min="14594" max="14594" width="16" style="31" customWidth="1"/>
    <col min="14595" max="14595" width="15.6640625" style="31" customWidth="1"/>
    <col min="14596" max="14596" width="17.6640625" style="31" customWidth="1"/>
    <col min="14597" max="14598" width="15.6640625" style="31" customWidth="1"/>
    <col min="14599" max="14599" width="16.6640625" style="31" customWidth="1"/>
    <col min="14600" max="14600" width="16.33203125" style="31" customWidth="1"/>
    <col min="14601" max="14601" width="17.6640625" style="31" customWidth="1"/>
    <col min="14602" max="14602" width="14" style="31" customWidth="1"/>
    <col min="14603" max="14603" width="15" style="31" customWidth="1"/>
    <col min="14604" max="14604" width="4" style="31" customWidth="1"/>
    <col min="14605" max="14605" width="9.109375" style="31"/>
    <col min="14606" max="14606" width="11.5546875" style="31" customWidth="1"/>
    <col min="14607" max="14609" width="9.109375" style="31"/>
    <col min="14610" max="14610" width="10" style="31" bestFit="1" customWidth="1"/>
    <col min="14611" max="14611" width="13.44140625" style="31" customWidth="1"/>
    <col min="14612" max="14612" width="14.44140625" style="31" bestFit="1" customWidth="1"/>
    <col min="14613" max="14613" width="14.109375" style="31" customWidth="1"/>
    <col min="14614" max="14848" width="9.109375" style="31"/>
    <col min="14849" max="14849" width="19.88671875" style="31" customWidth="1"/>
    <col min="14850" max="14850" width="16" style="31" customWidth="1"/>
    <col min="14851" max="14851" width="15.6640625" style="31" customWidth="1"/>
    <col min="14852" max="14852" width="17.6640625" style="31" customWidth="1"/>
    <col min="14853" max="14854" width="15.6640625" style="31" customWidth="1"/>
    <col min="14855" max="14855" width="16.6640625" style="31" customWidth="1"/>
    <col min="14856" max="14856" width="16.33203125" style="31" customWidth="1"/>
    <col min="14857" max="14857" width="17.6640625" style="31" customWidth="1"/>
    <col min="14858" max="14858" width="14" style="31" customWidth="1"/>
    <col min="14859" max="14859" width="15" style="31" customWidth="1"/>
    <col min="14860" max="14860" width="4" style="31" customWidth="1"/>
    <col min="14861" max="14861" width="9.109375" style="31"/>
    <col min="14862" max="14862" width="11.5546875" style="31" customWidth="1"/>
    <col min="14863" max="14865" width="9.109375" style="31"/>
    <col min="14866" max="14866" width="10" style="31" bestFit="1" customWidth="1"/>
    <col min="14867" max="14867" width="13.44140625" style="31" customWidth="1"/>
    <col min="14868" max="14868" width="14.44140625" style="31" bestFit="1" customWidth="1"/>
    <col min="14869" max="14869" width="14.109375" style="31" customWidth="1"/>
    <col min="14870" max="15104" width="9.109375" style="31"/>
    <col min="15105" max="15105" width="19.88671875" style="31" customWidth="1"/>
    <col min="15106" max="15106" width="16" style="31" customWidth="1"/>
    <col min="15107" max="15107" width="15.6640625" style="31" customWidth="1"/>
    <col min="15108" max="15108" width="17.6640625" style="31" customWidth="1"/>
    <col min="15109" max="15110" width="15.6640625" style="31" customWidth="1"/>
    <col min="15111" max="15111" width="16.6640625" style="31" customWidth="1"/>
    <col min="15112" max="15112" width="16.33203125" style="31" customWidth="1"/>
    <col min="15113" max="15113" width="17.6640625" style="31" customWidth="1"/>
    <col min="15114" max="15114" width="14" style="31" customWidth="1"/>
    <col min="15115" max="15115" width="15" style="31" customWidth="1"/>
    <col min="15116" max="15116" width="4" style="31" customWidth="1"/>
    <col min="15117" max="15117" width="9.109375" style="31"/>
    <col min="15118" max="15118" width="11.5546875" style="31" customWidth="1"/>
    <col min="15119" max="15121" width="9.109375" style="31"/>
    <col min="15122" max="15122" width="10" style="31" bestFit="1" customWidth="1"/>
    <col min="15123" max="15123" width="13.44140625" style="31" customWidth="1"/>
    <col min="15124" max="15124" width="14.44140625" style="31" bestFit="1" customWidth="1"/>
    <col min="15125" max="15125" width="14.109375" style="31" customWidth="1"/>
    <col min="15126" max="15360" width="9.109375" style="31"/>
    <col min="15361" max="15361" width="19.88671875" style="31" customWidth="1"/>
    <col min="15362" max="15362" width="16" style="31" customWidth="1"/>
    <col min="15363" max="15363" width="15.6640625" style="31" customWidth="1"/>
    <col min="15364" max="15364" width="17.6640625" style="31" customWidth="1"/>
    <col min="15365" max="15366" width="15.6640625" style="31" customWidth="1"/>
    <col min="15367" max="15367" width="16.6640625" style="31" customWidth="1"/>
    <col min="15368" max="15368" width="16.33203125" style="31" customWidth="1"/>
    <col min="15369" max="15369" width="17.6640625" style="31" customWidth="1"/>
    <col min="15370" max="15370" width="14" style="31" customWidth="1"/>
    <col min="15371" max="15371" width="15" style="31" customWidth="1"/>
    <col min="15372" max="15372" width="4" style="31" customWidth="1"/>
    <col min="15373" max="15373" width="9.109375" style="31"/>
    <col min="15374" max="15374" width="11.5546875" style="31" customWidth="1"/>
    <col min="15375" max="15377" width="9.109375" style="31"/>
    <col min="15378" max="15378" width="10" style="31" bestFit="1" customWidth="1"/>
    <col min="15379" max="15379" width="13.44140625" style="31" customWidth="1"/>
    <col min="15380" max="15380" width="14.44140625" style="31" bestFit="1" customWidth="1"/>
    <col min="15381" max="15381" width="14.109375" style="31" customWidth="1"/>
    <col min="15382" max="15616" width="9.109375" style="31"/>
    <col min="15617" max="15617" width="19.88671875" style="31" customWidth="1"/>
    <col min="15618" max="15618" width="16" style="31" customWidth="1"/>
    <col min="15619" max="15619" width="15.6640625" style="31" customWidth="1"/>
    <col min="15620" max="15620" width="17.6640625" style="31" customWidth="1"/>
    <col min="15621" max="15622" width="15.6640625" style="31" customWidth="1"/>
    <col min="15623" max="15623" width="16.6640625" style="31" customWidth="1"/>
    <col min="15624" max="15624" width="16.33203125" style="31" customWidth="1"/>
    <col min="15625" max="15625" width="17.6640625" style="31" customWidth="1"/>
    <col min="15626" max="15626" width="14" style="31" customWidth="1"/>
    <col min="15627" max="15627" width="15" style="31" customWidth="1"/>
    <col min="15628" max="15628" width="4" style="31" customWidth="1"/>
    <col min="15629" max="15629" width="9.109375" style="31"/>
    <col min="15630" max="15630" width="11.5546875" style="31" customWidth="1"/>
    <col min="15631" max="15633" width="9.109375" style="31"/>
    <col min="15634" max="15634" width="10" style="31" bestFit="1" customWidth="1"/>
    <col min="15635" max="15635" width="13.44140625" style="31" customWidth="1"/>
    <col min="15636" max="15636" width="14.44140625" style="31" bestFit="1" customWidth="1"/>
    <col min="15637" max="15637" width="14.109375" style="31" customWidth="1"/>
    <col min="15638" max="15872" width="9.109375" style="31"/>
    <col min="15873" max="15873" width="19.88671875" style="31" customWidth="1"/>
    <col min="15874" max="15874" width="16" style="31" customWidth="1"/>
    <col min="15875" max="15875" width="15.6640625" style="31" customWidth="1"/>
    <col min="15876" max="15876" width="17.6640625" style="31" customWidth="1"/>
    <col min="15877" max="15878" width="15.6640625" style="31" customWidth="1"/>
    <col min="15879" max="15879" width="16.6640625" style="31" customWidth="1"/>
    <col min="15880" max="15880" width="16.33203125" style="31" customWidth="1"/>
    <col min="15881" max="15881" width="17.6640625" style="31" customWidth="1"/>
    <col min="15882" max="15882" width="14" style="31" customWidth="1"/>
    <col min="15883" max="15883" width="15" style="31" customWidth="1"/>
    <col min="15884" max="15884" width="4" style="31" customWidth="1"/>
    <col min="15885" max="15885" width="9.109375" style="31"/>
    <col min="15886" max="15886" width="11.5546875" style="31" customWidth="1"/>
    <col min="15887" max="15889" width="9.109375" style="31"/>
    <col min="15890" max="15890" width="10" style="31" bestFit="1" customWidth="1"/>
    <col min="15891" max="15891" width="13.44140625" style="31" customWidth="1"/>
    <col min="15892" max="15892" width="14.44140625" style="31" bestFit="1" customWidth="1"/>
    <col min="15893" max="15893" width="14.109375" style="31" customWidth="1"/>
    <col min="15894" max="16128" width="9.109375" style="31"/>
    <col min="16129" max="16129" width="19.88671875" style="31" customWidth="1"/>
    <col min="16130" max="16130" width="16" style="31" customWidth="1"/>
    <col min="16131" max="16131" width="15.6640625" style="31" customWidth="1"/>
    <col min="16132" max="16132" width="17.6640625" style="31" customWidth="1"/>
    <col min="16133" max="16134" width="15.6640625" style="31" customWidth="1"/>
    <col min="16135" max="16135" width="16.6640625" style="31" customWidth="1"/>
    <col min="16136" max="16136" width="16.33203125" style="31" customWidth="1"/>
    <col min="16137" max="16137" width="17.6640625" style="31" customWidth="1"/>
    <col min="16138" max="16138" width="14" style="31" customWidth="1"/>
    <col min="16139" max="16139" width="15" style="31" customWidth="1"/>
    <col min="16140" max="16140" width="4" style="31" customWidth="1"/>
    <col min="16141" max="16141" width="9.109375" style="31"/>
    <col min="16142" max="16142" width="11.5546875" style="31" customWidth="1"/>
    <col min="16143" max="16145" width="9.109375" style="31"/>
    <col min="16146" max="16146" width="10" style="31" bestFit="1" customWidth="1"/>
    <col min="16147" max="16147" width="13.44140625" style="31" customWidth="1"/>
    <col min="16148" max="16148" width="14.44140625" style="31" bestFit="1" customWidth="1"/>
    <col min="16149" max="16149" width="14.109375" style="31" customWidth="1"/>
    <col min="16150" max="16384" width="9.109375" style="31"/>
  </cols>
  <sheetData>
    <row r="1" spans="1:11" ht="26.25" customHeight="1">
      <c r="A1" s="431" t="s">
        <v>44</v>
      </c>
      <c r="B1" s="432"/>
      <c r="C1" s="432"/>
      <c r="D1" s="432"/>
      <c r="E1" s="432"/>
      <c r="F1" s="432"/>
      <c r="G1" s="432"/>
      <c r="H1" s="432"/>
      <c r="I1" s="432"/>
      <c r="J1" s="432"/>
      <c r="K1" s="433"/>
    </row>
    <row r="2" spans="1:11" s="32" customFormat="1" ht="15" customHeight="1">
      <c r="A2" s="165" t="s">
        <v>38</v>
      </c>
      <c r="B2" s="434" t="s">
        <v>252</v>
      </c>
      <c r="C2" s="434"/>
      <c r="D2" s="166"/>
      <c r="E2" s="436"/>
      <c r="F2" s="436"/>
      <c r="G2" s="436"/>
      <c r="H2" s="167"/>
      <c r="I2" s="168" t="s">
        <v>17</v>
      </c>
      <c r="J2" s="167"/>
      <c r="K2" s="169"/>
    </row>
    <row r="3" spans="1:11" s="32" customFormat="1" ht="15" customHeight="1">
      <c r="A3" s="435" t="str">
        <f>'Planilha Orcamentária'!A3</f>
        <v>OBRA: PAVIMENTAÇÃO DE ESTRADAS VICINAIS</v>
      </c>
      <c r="B3" s="434"/>
      <c r="C3" s="434"/>
      <c r="D3" s="434"/>
      <c r="E3" s="434"/>
      <c r="F3" s="434"/>
      <c r="G3" s="434"/>
      <c r="H3" s="434"/>
      <c r="I3" s="170">
        <f ca="1">TODAY()</f>
        <v>46202</v>
      </c>
      <c r="J3" s="171"/>
      <c r="K3" s="172"/>
    </row>
    <row r="4" spans="1:11" s="32" customFormat="1" ht="30" customHeight="1">
      <c r="A4" s="165" t="s">
        <v>18</v>
      </c>
      <c r="B4" s="434" t="str">
        <f>'Planilha Orcamentária'!C51</f>
        <v>Priscila Cristina de Paula</v>
      </c>
      <c r="C4" s="434"/>
      <c r="D4" s="166" t="str">
        <f>'Planilha Orcamentária'!C53</f>
        <v>Engenheira Civil</v>
      </c>
      <c r="E4" s="434" t="str">
        <f>'Planilha Orcamentária'!F51</f>
        <v>CREA-MG Nº: 142.702/D</v>
      </c>
      <c r="F4" s="434"/>
      <c r="G4" s="166"/>
      <c r="H4" s="166"/>
      <c r="I4" s="170" t="s">
        <v>115</v>
      </c>
      <c r="J4" s="39"/>
      <c r="K4" s="169"/>
    </row>
    <row r="5" spans="1:11" s="32" customFormat="1" ht="15" customHeight="1">
      <c r="A5" s="435" t="str">
        <f>'Planilha Orcamentária'!A4</f>
        <v>LOCAL: Morro do Matão - Trecho 01, 02 e 03 e Morro do Rio Grande , Zona rural - Bocaina de Minas/MG</v>
      </c>
      <c r="B5" s="434"/>
      <c r="C5" s="434"/>
      <c r="D5" s="434"/>
      <c r="E5" s="434"/>
      <c r="F5" s="434"/>
      <c r="G5" s="434"/>
      <c r="H5" s="434"/>
      <c r="I5" s="173"/>
      <c r="J5" s="171"/>
      <c r="K5" s="172"/>
    </row>
    <row r="6" spans="1:11" ht="15" customHeight="1">
      <c r="A6" s="174" t="s">
        <v>0</v>
      </c>
      <c r="B6" s="420" t="s">
        <v>19</v>
      </c>
      <c r="C6" s="420"/>
      <c r="D6" s="420"/>
      <c r="E6" s="420"/>
      <c r="F6" s="420"/>
      <c r="G6" s="420"/>
      <c r="H6" s="420"/>
      <c r="I6" s="420"/>
      <c r="J6" s="420"/>
      <c r="K6" s="421"/>
    </row>
    <row r="7" spans="1:11" s="33" customFormat="1" ht="7.95" customHeight="1">
      <c r="A7" s="175"/>
      <c r="B7" s="176"/>
      <c r="C7" s="177"/>
      <c r="D7" s="54"/>
      <c r="E7" s="54"/>
      <c r="F7" s="54"/>
      <c r="G7" s="35"/>
      <c r="H7" s="54"/>
      <c r="I7" s="54"/>
      <c r="J7" s="35"/>
      <c r="K7" s="178"/>
    </row>
    <row r="8" spans="1:11" s="33" customFormat="1" ht="15" customHeight="1">
      <c r="A8" s="179" t="str">
        <f>'Planilha Orcamentária'!A9</f>
        <v>1.0</v>
      </c>
      <c r="B8" s="422" t="str">
        <f>'Planilha Orcamentária'!D9</f>
        <v>SERVIÇOS PRELIMINARES</v>
      </c>
      <c r="C8" s="422"/>
      <c r="D8" s="422"/>
      <c r="E8" s="422"/>
      <c r="F8" s="422"/>
      <c r="G8" s="422"/>
      <c r="H8" s="422"/>
      <c r="I8" s="422"/>
      <c r="J8" s="422"/>
      <c r="K8" s="423"/>
    </row>
    <row r="9" spans="1:11" s="33" customFormat="1" ht="7.95" customHeight="1">
      <c r="A9" s="175"/>
      <c r="B9" s="176"/>
      <c r="C9" s="177"/>
      <c r="D9" s="54"/>
      <c r="E9" s="54"/>
      <c r="F9" s="54"/>
      <c r="G9" s="35"/>
      <c r="H9" s="54"/>
      <c r="I9" s="54"/>
      <c r="J9" s="35"/>
      <c r="K9" s="178"/>
    </row>
    <row r="10" spans="1:11" s="34" customFormat="1" ht="30" customHeight="1">
      <c r="A10" s="180" t="str">
        <f>'Planilha Orcamentária'!A10</f>
        <v>1.1</v>
      </c>
      <c r="B10" s="424" t="str">
        <f>'Planilha Orcamentária'!D10</f>
        <v>FORNECIMENTO E INSTALAÇÃO DE PLACA DE OBRA COM CHAPA GALVANIZADA E ESTRUTURA DE MADEIRA. AF_03/2022_PS</v>
      </c>
      <c r="C10" s="424"/>
      <c r="D10" s="424"/>
      <c r="E10" s="424"/>
      <c r="F10" s="424"/>
      <c r="G10" s="424"/>
      <c r="H10" s="424"/>
      <c r="I10" s="424"/>
      <c r="J10" s="424"/>
      <c r="K10" s="425"/>
    </row>
    <row r="11" spans="1:11" s="33" customFormat="1" ht="7.95" customHeight="1">
      <c r="A11" s="175"/>
      <c r="B11" s="176"/>
      <c r="C11" s="177"/>
      <c r="D11" s="54"/>
      <c r="E11" s="54"/>
      <c r="F11" s="54"/>
      <c r="G11" s="35"/>
      <c r="H11" s="54"/>
      <c r="I11" s="54"/>
      <c r="J11" s="35"/>
      <c r="K11" s="178"/>
    </row>
    <row r="12" spans="1:11" s="33" customFormat="1" ht="14.4">
      <c r="A12" s="181" t="s">
        <v>163</v>
      </c>
      <c r="B12" s="152" t="s">
        <v>164</v>
      </c>
      <c r="C12" s="152" t="s">
        <v>165</v>
      </c>
      <c r="E12" s="54"/>
      <c r="F12" s="54"/>
      <c r="G12" s="35"/>
      <c r="H12" s="54"/>
      <c r="I12" s="54"/>
      <c r="J12" s="35"/>
      <c r="K12" s="178"/>
    </row>
    <row r="13" spans="1:11" s="33" customFormat="1" ht="15" customHeight="1">
      <c r="A13" s="182">
        <v>3.2</v>
      </c>
      <c r="B13" s="153">
        <v>1.6</v>
      </c>
      <c r="C13" s="154">
        <f>A13*B13</f>
        <v>5.120000000000001</v>
      </c>
      <c r="E13" s="54"/>
      <c r="F13" s="35"/>
      <c r="G13" s="54"/>
      <c r="H13" s="54"/>
      <c r="I13" s="35"/>
      <c r="K13" s="178"/>
    </row>
    <row r="14" spans="1:11" s="33" customFormat="1" ht="7.95" customHeight="1">
      <c r="A14" s="175"/>
      <c r="B14" s="176"/>
      <c r="C14" s="177"/>
      <c r="D14" s="54"/>
      <c r="E14" s="54"/>
      <c r="F14" s="54"/>
      <c r="G14" s="35"/>
      <c r="H14" s="54"/>
      <c r="I14" s="54"/>
      <c r="J14" s="35"/>
      <c r="K14" s="178"/>
    </row>
    <row r="15" spans="1:11" s="1" customFormat="1" ht="20.100000000000001" customHeight="1">
      <c r="A15" s="428" t="str">
        <f>'Planilha Orcamentária'!D12</f>
        <v xml:space="preserve">MORRO DO MATÃO - TRECHO 01 </v>
      </c>
      <c r="B15" s="429"/>
      <c r="C15" s="429"/>
      <c r="D15" s="429"/>
      <c r="E15" s="429"/>
      <c r="F15" s="429"/>
      <c r="G15" s="429"/>
      <c r="H15" s="429"/>
      <c r="I15" s="429"/>
      <c r="J15" s="429"/>
      <c r="K15" s="430"/>
    </row>
    <row r="16" spans="1:11" s="33" customFormat="1" ht="7.95" customHeight="1">
      <c r="A16" s="175"/>
      <c r="B16" s="176"/>
      <c r="C16" s="177"/>
      <c r="D16" s="54"/>
      <c r="E16" s="54"/>
      <c r="F16" s="54"/>
      <c r="G16" s="35"/>
      <c r="H16" s="54"/>
      <c r="I16" s="54"/>
      <c r="J16" s="35"/>
      <c r="K16" s="178"/>
    </row>
    <row r="17" spans="1:11" s="33" customFormat="1" ht="14.4">
      <c r="A17" s="183" t="str">
        <f>'Planilha Orcamentária'!A13</f>
        <v>2.0</v>
      </c>
      <c r="B17" s="426" t="str">
        <f>'Planilha Orcamentária'!D13</f>
        <v>SERVIÇOS DE CALÇAMENTO EM BLOQUETE</v>
      </c>
      <c r="C17" s="426"/>
      <c r="D17" s="426"/>
      <c r="E17" s="426"/>
      <c r="F17" s="426"/>
      <c r="G17" s="426"/>
      <c r="H17" s="426"/>
      <c r="I17" s="426"/>
      <c r="J17" s="426"/>
      <c r="K17" s="427"/>
    </row>
    <row r="18" spans="1:11" s="33" customFormat="1" ht="7.95" customHeight="1">
      <c r="A18" s="175"/>
      <c r="B18" s="176"/>
      <c r="C18" s="177"/>
      <c r="D18" s="54"/>
      <c r="E18" s="54"/>
      <c r="F18" s="54"/>
      <c r="G18" s="35"/>
      <c r="H18" s="54"/>
      <c r="I18" s="54"/>
      <c r="J18" s="35"/>
      <c r="K18" s="178"/>
    </row>
    <row r="19" spans="1:11" s="33" customFormat="1" ht="15" customHeight="1">
      <c r="A19" s="180" t="str">
        <f>'Planilha Orcamentária'!A14</f>
        <v>2.1</v>
      </c>
      <c r="B19" s="424" t="str">
        <f>'Planilha Orcamentária'!D14</f>
        <v>REGULARIZAÇÃO E COMPACTAÇÃO DE SUBLEITO DE SOLO PREDOMINANTEMENTE ARGILOSO, PARA OBRAS DE CONSTRUÇÃO DE PAVIMENTOS. AF_09/2024</v>
      </c>
      <c r="C19" s="424"/>
      <c r="D19" s="424"/>
      <c r="E19" s="424"/>
      <c r="F19" s="424"/>
      <c r="G19" s="424"/>
      <c r="H19" s="424"/>
      <c r="I19" s="424"/>
      <c r="J19" s="424"/>
      <c r="K19" s="425"/>
    </row>
    <row r="20" spans="1:11" s="33" customFormat="1" ht="7.95" customHeight="1">
      <c r="A20" s="175"/>
      <c r="B20" s="176"/>
      <c r="C20" s="177"/>
      <c r="D20" s="54"/>
      <c r="E20" s="54"/>
      <c r="F20" s="54"/>
      <c r="G20" s="35"/>
      <c r="H20" s="54"/>
      <c r="I20" s="54"/>
      <c r="J20" s="35"/>
      <c r="K20" s="178"/>
    </row>
    <row r="21" spans="1:11" s="33" customFormat="1" ht="14.4">
      <c r="A21" s="156" t="s">
        <v>225</v>
      </c>
      <c r="B21" s="158">
        <v>20</v>
      </c>
      <c r="C21" s="155">
        <v>4.2</v>
      </c>
      <c r="D21" s="156">
        <f t="shared" ref="D21:D25" si="0">B21*C21</f>
        <v>84</v>
      </c>
    </row>
    <row r="22" spans="1:11" s="33" customFormat="1" ht="14.4">
      <c r="A22" s="175"/>
      <c r="B22" s="158">
        <v>24.55</v>
      </c>
      <c r="C22" s="155">
        <v>4.2</v>
      </c>
      <c r="D22" s="156">
        <f t="shared" si="0"/>
        <v>103.11000000000001</v>
      </c>
    </row>
    <row r="23" spans="1:11" s="33" customFormat="1" ht="14.4">
      <c r="A23" s="175"/>
      <c r="B23" s="158">
        <v>13.15</v>
      </c>
      <c r="C23" s="155">
        <v>4.2</v>
      </c>
      <c r="D23" s="156">
        <f t="shared" si="0"/>
        <v>55.230000000000004</v>
      </c>
    </row>
    <row r="24" spans="1:11" s="33" customFormat="1" ht="14.4">
      <c r="A24" s="175"/>
      <c r="B24" s="158">
        <v>38</v>
      </c>
      <c r="C24" s="155">
        <v>4.2</v>
      </c>
      <c r="D24" s="156">
        <f t="shared" si="0"/>
        <v>159.6</v>
      </c>
    </row>
    <row r="25" spans="1:11" s="33" customFormat="1" thickBot="1">
      <c r="A25" s="175"/>
      <c r="B25" s="158">
        <v>24.3</v>
      </c>
      <c r="C25" s="155">
        <v>4.2</v>
      </c>
      <c r="D25" s="156">
        <f t="shared" si="0"/>
        <v>102.06</v>
      </c>
    </row>
    <row r="26" spans="1:11" s="33" customFormat="1" ht="17.399999999999999" customHeight="1" thickBot="1">
      <c r="A26" s="175"/>
      <c r="B26" s="418" t="s">
        <v>60</v>
      </c>
      <c r="C26" s="419"/>
      <c r="D26" s="223">
        <f>SUM(D21:D25)</f>
        <v>504.00000000000006</v>
      </c>
      <c r="E26" s="224" t="s">
        <v>15</v>
      </c>
      <c r="F26" s="54"/>
      <c r="G26" s="35"/>
      <c r="H26" s="54"/>
      <c r="I26" s="54"/>
      <c r="J26" s="35"/>
    </row>
    <row r="27" spans="1:11" s="33" customFormat="1" ht="7.95" customHeight="1">
      <c r="A27" s="175"/>
      <c r="B27" s="176"/>
      <c r="C27" s="177"/>
      <c r="D27" s="54"/>
      <c r="E27" s="54"/>
      <c r="F27" s="54"/>
      <c r="G27" s="35"/>
      <c r="H27" s="54"/>
      <c r="I27" s="54"/>
      <c r="J27" s="35"/>
    </row>
    <row r="28" spans="1:11" s="33" customFormat="1" ht="15" customHeight="1">
      <c r="A28" s="180" t="str">
        <f>'Planilha Orcamentária'!A15</f>
        <v>2.2</v>
      </c>
      <c r="B28" s="424" t="str">
        <f>'Planilha Orcamentária'!D15</f>
        <v>EXECUÇÃO DE PAVIMENTO EM PISO INTERTRAVADO, COM BLOCO SEXTAVADO DE 25 X 25 CM, ESPESSURA 8 CM. AF_10/2022</v>
      </c>
      <c r="C28" s="424"/>
      <c r="D28" s="424"/>
      <c r="E28" s="424"/>
      <c r="F28" s="424"/>
      <c r="G28" s="424"/>
      <c r="H28" s="424"/>
      <c r="I28" s="424"/>
      <c r="J28" s="424"/>
      <c r="K28" s="425"/>
    </row>
    <row r="29" spans="1:11" s="33" customFormat="1" ht="7.95" customHeight="1">
      <c r="A29" s="175"/>
      <c r="B29" s="176"/>
      <c r="C29" s="177"/>
      <c r="D29" s="54"/>
      <c r="E29" s="54"/>
      <c r="F29" s="54"/>
      <c r="G29" s="35"/>
      <c r="H29" s="54"/>
      <c r="I29" s="54"/>
      <c r="J29" s="35"/>
      <c r="K29" s="178"/>
    </row>
    <row r="30" spans="1:11" s="33" customFormat="1" ht="14.4">
      <c r="A30" s="156" t="s">
        <v>225</v>
      </c>
      <c r="B30" s="158">
        <v>20</v>
      </c>
      <c r="C30" s="155">
        <v>4</v>
      </c>
      <c r="D30" s="156">
        <f t="shared" ref="D30:D34" si="1">B30*C30</f>
        <v>80</v>
      </c>
    </row>
    <row r="31" spans="1:11" s="33" customFormat="1" ht="14.4">
      <c r="A31" s="175"/>
      <c r="B31" s="158">
        <v>24.55</v>
      </c>
      <c r="C31" s="155">
        <v>4</v>
      </c>
      <c r="D31" s="156">
        <f t="shared" si="1"/>
        <v>98.2</v>
      </c>
    </row>
    <row r="32" spans="1:11" s="33" customFormat="1" ht="14.4">
      <c r="A32" s="175"/>
      <c r="B32" s="158">
        <v>13.15</v>
      </c>
      <c r="C32" s="155">
        <v>4</v>
      </c>
      <c r="D32" s="156">
        <f t="shared" si="1"/>
        <v>52.6</v>
      </c>
    </row>
    <row r="33" spans="1:11" s="33" customFormat="1" ht="14.4">
      <c r="A33" s="175"/>
      <c r="B33" s="158">
        <v>38</v>
      </c>
      <c r="C33" s="155">
        <v>4</v>
      </c>
      <c r="D33" s="156">
        <f t="shared" si="1"/>
        <v>152</v>
      </c>
    </row>
    <row r="34" spans="1:11" s="33" customFormat="1" thickBot="1">
      <c r="A34" s="175"/>
      <c r="B34" s="158">
        <v>24.3</v>
      </c>
      <c r="C34" s="155">
        <v>4</v>
      </c>
      <c r="D34" s="156">
        <f t="shared" si="1"/>
        <v>97.2</v>
      </c>
    </row>
    <row r="35" spans="1:11" s="33" customFormat="1" ht="17.399999999999999" customHeight="1" thickBot="1">
      <c r="A35" s="175"/>
      <c r="B35" s="418" t="s">
        <v>60</v>
      </c>
      <c r="C35" s="419"/>
      <c r="D35" s="223">
        <f>SUM(D30:D34)</f>
        <v>479.99999999999994</v>
      </c>
      <c r="E35" s="224" t="s">
        <v>15</v>
      </c>
      <c r="F35" s="54"/>
      <c r="G35" s="35"/>
      <c r="H35" s="54"/>
      <c r="I35" s="54"/>
      <c r="J35" s="35"/>
    </row>
    <row r="36" spans="1:11" s="33" customFormat="1" ht="7.95" customHeight="1">
      <c r="A36" s="175"/>
      <c r="B36" s="176"/>
      <c r="C36" s="177"/>
      <c r="D36" s="54"/>
      <c r="E36" s="54"/>
      <c r="F36" s="54"/>
      <c r="G36" s="35"/>
      <c r="H36" s="54"/>
      <c r="I36" s="54"/>
      <c r="J36" s="35"/>
    </row>
    <row r="37" spans="1:11" s="36" customFormat="1" ht="18.75" customHeight="1">
      <c r="A37" s="183" t="str">
        <f>'Planilha Orcamentária'!A17</f>
        <v>3.0</v>
      </c>
      <c r="B37" s="426" t="str">
        <f>'Planilha Orcamentária'!D17</f>
        <v>OBRAS COMPLEMENTARES</v>
      </c>
      <c r="C37" s="426"/>
      <c r="D37" s="426"/>
      <c r="E37" s="426"/>
      <c r="F37" s="426"/>
      <c r="G37" s="426"/>
      <c r="H37" s="426"/>
      <c r="I37" s="426"/>
      <c r="J37" s="426"/>
      <c r="K37" s="427"/>
    </row>
    <row r="38" spans="1:11" s="33" customFormat="1" ht="7.95" customHeight="1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84"/>
    </row>
    <row r="39" spans="1:11" s="33" customFormat="1" ht="15" customHeight="1">
      <c r="A39" s="180" t="str">
        <f>'Planilha Orcamentária'!A18</f>
        <v>3.1</v>
      </c>
      <c r="B39" s="424" t="s">
        <v>166</v>
      </c>
      <c r="C39" s="424"/>
      <c r="D39" s="424"/>
      <c r="E39" s="424"/>
      <c r="F39" s="424"/>
      <c r="G39" s="424"/>
      <c r="H39" s="424"/>
      <c r="I39" s="424"/>
      <c r="J39" s="424"/>
      <c r="K39" s="425"/>
    </row>
    <row r="40" spans="1:11" s="33" customFormat="1" ht="7.95" customHeight="1">
      <c r="A40" s="175"/>
      <c r="B40" s="176"/>
      <c r="C40" s="177"/>
      <c r="D40" s="54"/>
      <c r="E40" s="54"/>
      <c r="F40" s="54"/>
      <c r="G40" s="35"/>
      <c r="H40" s="54"/>
      <c r="I40" s="54"/>
      <c r="J40" s="35"/>
      <c r="K40" s="178"/>
    </row>
    <row r="41" spans="1:11" s="33" customFormat="1" ht="14.4">
      <c r="A41" s="156" t="s">
        <v>225</v>
      </c>
      <c r="B41" s="158">
        <f>B30</f>
        <v>20</v>
      </c>
      <c r="C41" s="155">
        <v>2</v>
      </c>
      <c r="D41" s="156">
        <f t="shared" ref="D41:D46" si="2">B41*C41</f>
        <v>40</v>
      </c>
    </row>
    <row r="42" spans="1:11" s="33" customFormat="1" ht="14.4">
      <c r="A42" s="175"/>
      <c r="B42" s="158">
        <f t="shared" ref="B42:B45" si="3">B31</f>
        <v>24.55</v>
      </c>
      <c r="C42" s="155">
        <v>2</v>
      </c>
      <c r="D42" s="156">
        <f t="shared" si="2"/>
        <v>49.1</v>
      </c>
    </row>
    <row r="43" spans="1:11" s="33" customFormat="1" ht="14.4">
      <c r="A43" s="175"/>
      <c r="B43" s="158">
        <f t="shared" si="3"/>
        <v>13.15</v>
      </c>
      <c r="C43" s="155">
        <v>2</v>
      </c>
      <c r="D43" s="156">
        <f t="shared" si="2"/>
        <v>26.3</v>
      </c>
    </row>
    <row r="44" spans="1:11" s="33" customFormat="1" ht="14.4">
      <c r="A44" s="175"/>
      <c r="B44" s="158">
        <f t="shared" si="3"/>
        <v>38</v>
      </c>
      <c r="C44" s="155">
        <v>2</v>
      </c>
      <c r="D44" s="156">
        <f t="shared" si="2"/>
        <v>76</v>
      </c>
    </row>
    <row r="45" spans="1:11" s="33" customFormat="1" ht="14.4">
      <c r="A45" s="175"/>
      <c r="B45" s="158">
        <f t="shared" si="3"/>
        <v>24.3</v>
      </c>
      <c r="C45" s="155">
        <v>2</v>
      </c>
      <c r="D45" s="156">
        <f t="shared" si="2"/>
        <v>48.6</v>
      </c>
    </row>
    <row r="46" spans="1:11" s="33" customFormat="1" thickBot="1">
      <c r="A46" s="156" t="s">
        <v>226</v>
      </c>
      <c r="B46" s="158">
        <v>4</v>
      </c>
      <c r="C46" s="155">
        <v>2</v>
      </c>
      <c r="D46" s="156">
        <f t="shared" si="2"/>
        <v>8</v>
      </c>
    </row>
    <row r="47" spans="1:11" s="33" customFormat="1" ht="17.399999999999999" customHeight="1" thickBot="1">
      <c r="A47" s="175"/>
      <c r="B47" s="418" t="s">
        <v>60</v>
      </c>
      <c r="C47" s="419"/>
      <c r="D47" s="223">
        <f>SUM(D41:D46)</f>
        <v>247.99999999999997</v>
      </c>
      <c r="E47" s="224" t="s">
        <v>20</v>
      </c>
      <c r="F47" s="54"/>
      <c r="G47" s="35"/>
      <c r="H47" s="54"/>
      <c r="I47" s="54"/>
      <c r="J47" s="35"/>
    </row>
    <row r="48" spans="1:11" s="33" customFormat="1" ht="7.95" customHeight="1">
      <c r="A48" s="175"/>
      <c r="B48" s="176"/>
      <c r="C48" s="177"/>
      <c r="D48" s="54"/>
      <c r="E48" s="54"/>
      <c r="F48" s="54"/>
      <c r="G48" s="35"/>
      <c r="H48" s="54"/>
      <c r="I48" s="54"/>
      <c r="J48" s="35"/>
      <c r="K48" s="178"/>
    </row>
    <row r="49" spans="1:11" s="1" customFormat="1" ht="20.100000000000001" customHeight="1">
      <c r="A49" s="428" t="str">
        <f>'Planilha Orcamentária'!D20</f>
        <v>MORRO DO MATÃO - TRECHO 02</v>
      </c>
      <c r="B49" s="429"/>
      <c r="C49" s="429"/>
      <c r="D49" s="429"/>
      <c r="E49" s="429"/>
      <c r="F49" s="429"/>
      <c r="G49" s="429"/>
      <c r="H49" s="429"/>
      <c r="I49" s="429"/>
      <c r="J49" s="429"/>
      <c r="K49" s="430"/>
    </row>
    <row r="50" spans="1:11" s="33" customFormat="1" ht="7.95" customHeight="1">
      <c r="A50" s="175"/>
      <c r="B50" s="176"/>
      <c r="C50" s="177"/>
      <c r="D50" s="54"/>
      <c r="E50" s="54"/>
      <c r="F50" s="54"/>
      <c r="G50" s="35"/>
      <c r="H50" s="54"/>
      <c r="I50" s="54"/>
      <c r="J50" s="35"/>
      <c r="K50" s="178"/>
    </row>
    <row r="51" spans="1:11" s="33" customFormat="1" ht="14.4">
      <c r="A51" s="183" t="str">
        <f>'Planilha Orcamentária'!A21</f>
        <v>4.0</v>
      </c>
      <c r="B51" s="426" t="str">
        <f>'Planilha Orcamentária'!D21</f>
        <v>SERVIÇOS DE CALÇAMENTO EM BLOQUETE</v>
      </c>
      <c r="C51" s="426"/>
      <c r="D51" s="426"/>
      <c r="E51" s="426"/>
      <c r="F51" s="426"/>
      <c r="G51" s="426"/>
      <c r="H51" s="426"/>
      <c r="I51" s="426"/>
      <c r="J51" s="426"/>
      <c r="K51" s="427"/>
    </row>
    <row r="52" spans="1:11" s="33" customFormat="1" ht="7.95" customHeight="1">
      <c r="A52" s="175"/>
      <c r="B52" s="176"/>
      <c r="C52" s="177"/>
      <c r="D52" s="54"/>
      <c r="E52" s="54"/>
      <c r="F52" s="54"/>
      <c r="G52" s="35"/>
      <c r="H52" s="54"/>
      <c r="I52" s="54"/>
      <c r="J52" s="35"/>
      <c r="K52" s="178"/>
    </row>
    <row r="53" spans="1:11" s="33" customFormat="1" ht="15" customHeight="1">
      <c r="A53" s="180" t="str">
        <f>'Planilha Orcamentária'!A22</f>
        <v>4.1</v>
      </c>
      <c r="B53" s="424" t="str">
        <f>'Planilha Orcamentária'!D22</f>
        <v>REGULARIZAÇÃO E COMPACTAÇÃO DE SUBLEITO DE SOLO PREDOMINANTEMENTE ARGILOSO, PARA OBRAS DE CONSTRUÇÃO DE PAVIMENTOS. AF_09/2024</v>
      </c>
      <c r="C53" s="424"/>
      <c r="D53" s="424"/>
      <c r="E53" s="424"/>
      <c r="F53" s="424"/>
      <c r="G53" s="424"/>
      <c r="H53" s="424"/>
      <c r="I53" s="424"/>
      <c r="J53" s="424"/>
      <c r="K53" s="425"/>
    </row>
    <row r="54" spans="1:11" s="33" customFormat="1" ht="7.95" customHeight="1">
      <c r="A54" s="175"/>
      <c r="B54" s="176"/>
      <c r="C54" s="177"/>
      <c r="D54" s="54"/>
      <c r="E54" s="54"/>
      <c r="F54" s="54"/>
      <c r="G54" s="35"/>
      <c r="H54" s="54"/>
      <c r="I54" s="54"/>
      <c r="J54" s="35"/>
      <c r="K54" s="178"/>
    </row>
    <row r="55" spans="1:11" s="33" customFormat="1" ht="14.4">
      <c r="A55" s="156" t="s">
        <v>241</v>
      </c>
      <c r="B55" s="158">
        <v>20</v>
      </c>
      <c r="C55" s="155">
        <v>4.2</v>
      </c>
      <c r="D55" s="156">
        <f t="shared" ref="D55:D60" si="4">B55*C55</f>
        <v>84</v>
      </c>
    </row>
    <row r="56" spans="1:11" s="33" customFormat="1" ht="14.4">
      <c r="A56" s="175"/>
      <c r="B56" s="158">
        <v>34.25</v>
      </c>
      <c r="C56" s="155">
        <v>4.2</v>
      </c>
      <c r="D56" s="156">
        <f t="shared" si="4"/>
        <v>143.85</v>
      </c>
    </row>
    <row r="57" spans="1:11" s="33" customFormat="1" ht="14.4">
      <c r="A57" s="175"/>
      <c r="B57" s="158">
        <v>15</v>
      </c>
      <c r="C57" s="155">
        <v>4.2</v>
      </c>
      <c r="D57" s="156">
        <f t="shared" si="4"/>
        <v>63</v>
      </c>
    </row>
    <row r="58" spans="1:11" s="33" customFormat="1" ht="14.4">
      <c r="A58" s="175"/>
      <c r="B58" s="158">
        <v>15.2</v>
      </c>
      <c r="C58" s="155">
        <v>4.2</v>
      </c>
      <c r="D58" s="156">
        <f t="shared" si="4"/>
        <v>63.839999999999996</v>
      </c>
    </row>
    <row r="59" spans="1:11" s="33" customFormat="1" ht="14.4">
      <c r="A59" s="175"/>
      <c r="B59" s="158">
        <v>17.350000000000001</v>
      </c>
      <c r="C59" s="155">
        <v>4.2</v>
      </c>
      <c r="D59" s="156">
        <f t="shared" ref="D59" si="5">B59*C59</f>
        <v>72.87</v>
      </c>
    </row>
    <row r="60" spans="1:11" s="33" customFormat="1" thickBot="1">
      <c r="A60" s="175"/>
      <c r="B60" s="158">
        <v>18.2</v>
      </c>
      <c r="C60" s="155">
        <v>4.2</v>
      </c>
      <c r="D60" s="156">
        <f t="shared" si="4"/>
        <v>76.44</v>
      </c>
    </row>
    <row r="61" spans="1:11" s="33" customFormat="1" ht="17.399999999999999" customHeight="1" thickBot="1">
      <c r="A61" s="175"/>
      <c r="B61" s="418" t="s">
        <v>60</v>
      </c>
      <c r="C61" s="419"/>
      <c r="D61" s="223">
        <f>SUM(D55:D60)</f>
        <v>504</v>
      </c>
      <c r="E61" s="224" t="s">
        <v>15</v>
      </c>
      <c r="F61" s="54"/>
      <c r="G61" s="35"/>
      <c r="H61" s="54"/>
      <c r="I61" s="54"/>
      <c r="J61" s="35"/>
    </row>
    <row r="62" spans="1:11" s="33" customFormat="1" ht="7.95" customHeight="1">
      <c r="A62" s="175"/>
      <c r="B62" s="176"/>
      <c r="C62" s="177"/>
      <c r="D62" s="54"/>
      <c r="E62" s="54"/>
      <c r="F62" s="54"/>
      <c r="G62" s="35"/>
      <c r="H62" s="54"/>
      <c r="I62" s="54"/>
      <c r="J62" s="35"/>
    </row>
    <row r="63" spans="1:11" s="33" customFormat="1" ht="15" customHeight="1">
      <c r="A63" s="180" t="str">
        <f>'Planilha Orcamentária'!A23</f>
        <v>4.2</v>
      </c>
      <c r="B63" s="424" t="str">
        <f>'Planilha Orcamentária'!D23</f>
        <v>EXECUÇÃO DE PAVIMENTO EM PISO INTERTRAVADO, COM BLOCO SEXTAVADO DE 25 X 25 CM, ESPESSURA 8 CM. AF_10/2022</v>
      </c>
      <c r="C63" s="424"/>
      <c r="D63" s="424"/>
      <c r="E63" s="424"/>
      <c r="F63" s="424"/>
      <c r="G63" s="424"/>
      <c r="H63" s="424"/>
      <c r="I63" s="424"/>
      <c r="J63" s="424"/>
      <c r="K63" s="425"/>
    </row>
    <row r="64" spans="1:11" s="33" customFormat="1" ht="7.95" customHeight="1">
      <c r="A64" s="175"/>
      <c r="B64" s="176"/>
      <c r="C64" s="177"/>
      <c r="D64" s="54"/>
      <c r="E64" s="54"/>
      <c r="F64" s="54"/>
      <c r="G64" s="35"/>
      <c r="H64" s="54"/>
      <c r="I64" s="54"/>
      <c r="J64" s="35"/>
      <c r="K64" s="178"/>
    </row>
    <row r="65" spans="1:11" s="33" customFormat="1" ht="14.4">
      <c r="A65" s="156" t="s">
        <v>241</v>
      </c>
      <c r="B65" s="158">
        <f>B55</f>
        <v>20</v>
      </c>
      <c r="C65" s="155">
        <v>4</v>
      </c>
      <c r="D65" s="156">
        <f t="shared" ref="D65:D70" si="6">B65*C65</f>
        <v>80</v>
      </c>
    </row>
    <row r="66" spans="1:11" s="33" customFormat="1" ht="14.4">
      <c r="A66" s="175"/>
      <c r="B66" s="158">
        <f t="shared" ref="B66:B70" si="7">B56</f>
        <v>34.25</v>
      </c>
      <c r="C66" s="155">
        <v>4</v>
      </c>
      <c r="D66" s="156">
        <f t="shared" si="6"/>
        <v>137</v>
      </c>
    </row>
    <row r="67" spans="1:11" s="33" customFormat="1" ht="14.4">
      <c r="A67" s="175"/>
      <c r="B67" s="158">
        <f t="shared" si="7"/>
        <v>15</v>
      </c>
      <c r="C67" s="155">
        <v>4</v>
      </c>
      <c r="D67" s="156">
        <f t="shared" ref="D67" si="8">B67*C67</f>
        <v>60</v>
      </c>
    </row>
    <row r="68" spans="1:11" s="33" customFormat="1" ht="14.4">
      <c r="A68" s="175"/>
      <c r="B68" s="158">
        <f t="shared" si="7"/>
        <v>15.2</v>
      </c>
      <c r="C68" s="155">
        <v>4</v>
      </c>
      <c r="D68" s="156">
        <f t="shared" si="6"/>
        <v>60.8</v>
      </c>
    </row>
    <row r="69" spans="1:11" s="33" customFormat="1" ht="14.4">
      <c r="A69" s="175"/>
      <c r="B69" s="158">
        <f t="shared" si="7"/>
        <v>17.350000000000001</v>
      </c>
      <c r="C69" s="155">
        <v>4</v>
      </c>
      <c r="D69" s="156">
        <f t="shared" si="6"/>
        <v>69.400000000000006</v>
      </c>
    </row>
    <row r="70" spans="1:11" s="33" customFormat="1" thickBot="1">
      <c r="A70" s="175"/>
      <c r="B70" s="158">
        <f t="shared" si="7"/>
        <v>18.2</v>
      </c>
      <c r="C70" s="155">
        <v>4</v>
      </c>
      <c r="D70" s="156">
        <f t="shared" si="6"/>
        <v>72.8</v>
      </c>
    </row>
    <row r="71" spans="1:11" s="33" customFormat="1" ht="17.399999999999999" customHeight="1" thickBot="1">
      <c r="A71" s="175"/>
      <c r="B71" s="418" t="s">
        <v>60</v>
      </c>
      <c r="C71" s="419"/>
      <c r="D71" s="223">
        <f>SUM(D65:D70)</f>
        <v>480.00000000000006</v>
      </c>
      <c r="E71" s="224" t="s">
        <v>15</v>
      </c>
      <c r="F71" s="54"/>
      <c r="G71" s="35"/>
      <c r="H71" s="54"/>
      <c r="I71" s="54"/>
      <c r="J71" s="35"/>
    </row>
    <row r="72" spans="1:11" s="33" customFormat="1" ht="7.95" customHeight="1">
      <c r="A72" s="175"/>
      <c r="B72" s="176"/>
      <c r="C72" s="177"/>
      <c r="D72" s="54"/>
      <c r="E72" s="54"/>
      <c r="F72" s="54"/>
      <c r="G72" s="35"/>
      <c r="H72" s="54"/>
      <c r="I72" s="54"/>
      <c r="J72" s="35"/>
    </row>
    <row r="73" spans="1:11" s="36" customFormat="1" ht="18.75" customHeight="1">
      <c r="A73" s="183" t="str">
        <f>'Planilha Orcamentária'!A25</f>
        <v>5.0</v>
      </c>
      <c r="B73" s="426" t="str">
        <f>'Planilha Orcamentária'!D25</f>
        <v>OBRAS COMPLEMENTARES</v>
      </c>
      <c r="C73" s="426"/>
      <c r="D73" s="426"/>
      <c r="E73" s="426"/>
      <c r="F73" s="426"/>
      <c r="G73" s="426"/>
      <c r="H73" s="426"/>
      <c r="I73" s="426"/>
      <c r="J73" s="426"/>
      <c r="K73" s="427"/>
    </row>
    <row r="74" spans="1:11" s="33" customFormat="1" ht="7.95" customHeight="1">
      <c r="A74" s="165"/>
      <c r="B74" s="166"/>
      <c r="C74" s="166"/>
      <c r="D74" s="166"/>
      <c r="E74" s="166"/>
      <c r="F74" s="166"/>
      <c r="G74" s="166"/>
      <c r="H74" s="166"/>
      <c r="I74" s="166"/>
      <c r="J74" s="166"/>
      <c r="K74" s="184"/>
    </row>
    <row r="75" spans="1:11" s="33" customFormat="1" ht="15" customHeight="1">
      <c r="A75" s="180" t="str">
        <f>'Planilha Orcamentária'!A26</f>
        <v>5.1</v>
      </c>
      <c r="B75" s="424" t="str">
        <f>'Planilha Orcamentária'!D26</f>
        <v>ASSENTAMENTO DE GUIA (MEIO-FIO) EM TRECHO RETO, CONFECCIONADA EM CONCRETO PRÉ-FABRICADO, DIMENSÕES 100X15X13X30 CM (COMPRIMENTO X BASE INFERIOR X BASE SUPERIOR X ALTURA). AF_01/2024</v>
      </c>
      <c r="C75" s="424"/>
      <c r="D75" s="424"/>
      <c r="E75" s="424"/>
      <c r="F75" s="424"/>
      <c r="G75" s="424"/>
      <c r="H75" s="424"/>
      <c r="I75" s="424"/>
      <c r="J75" s="424"/>
      <c r="K75" s="425"/>
    </row>
    <row r="76" spans="1:11" s="33" customFormat="1" ht="7.95" customHeight="1">
      <c r="A76" s="175"/>
      <c r="B76" s="176"/>
      <c r="C76" s="177"/>
      <c r="D76" s="54"/>
      <c r="E76" s="54"/>
      <c r="F76" s="54"/>
      <c r="G76" s="35"/>
      <c r="H76" s="54"/>
      <c r="I76" s="54"/>
      <c r="J76" s="35"/>
      <c r="K76" s="178"/>
    </row>
    <row r="77" spans="1:11" s="33" customFormat="1" ht="14.4">
      <c r="A77" s="156" t="s">
        <v>241</v>
      </c>
      <c r="B77" s="158">
        <f>B65</f>
        <v>20</v>
      </c>
      <c r="C77" s="155">
        <v>2</v>
      </c>
      <c r="D77" s="156">
        <f t="shared" ref="D77:D83" si="9">B77*C77</f>
        <v>40</v>
      </c>
    </row>
    <row r="78" spans="1:11" s="33" customFormat="1" ht="14.4">
      <c r="A78" s="175"/>
      <c r="B78" s="158">
        <f t="shared" ref="B78:B82" si="10">B66</f>
        <v>34.25</v>
      </c>
      <c r="C78" s="155">
        <v>2</v>
      </c>
      <c r="D78" s="156">
        <f t="shared" si="9"/>
        <v>68.5</v>
      </c>
    </row>
    <row r="79" spans="1:11" s="33" customFormat="1" ht="14.4">
      <c r="A79" s="175"/>
      <c r="B79" s="158">
        <f t="shared" si="10"/>
        <v>15</v>
      </c>
      <c r="C79" s="155">
        <v>2</v>
      </c>
      <c r="D79" s="156">
        <f t="shared" ref="D79" si="11">B79*C79</f>
        <v>30</v>
      </c>
    </row>
    <row r="80" spans="1:11" s="33" customFormat="1" ht="14.4">
      <c r="A80" s="175"/>
      <c r="B80" s="158">
        <f t="shared" si="10"/>
        <v>15.2</v>
      </c>
      <c r="C80" s="155">
        <v>2</v>
      </c>
      <c r="D80" s="156">
        <f t="shared" si="9"/>
        <v>30.4</v>
      </c>
    </row>
    <row r="81" spans="1:11" s="33" customFormat="1" ht="14.4">
      <c r="A81" s="175"/>
      <c r="B81" s="158">
        <f t="shared" si="10"/>
        <v>17.350000000000001</v>
      </c>
      <c r="C81" s="155">
        <v>2</v>
      </c>
      <c r="D81" s="156">
        <f t="shared" si="9"/>
        <v>34.700000000000003</v>
      </c>
    </row>
    <row r="82" spans="1:11" s="33" customFormat="1" ht="14.4">
      <c r="A82" s="175"/>
      <c r="B82" s="158">
        <f t="shared" si="10"/>
        <v>18.2</v>
      </c>
      <c r="C82" s="155">
        <v>2</v>
      </c>
      <c r="D82" s="156">
        <f t="shared" si="9"/>
        <v>36.4</v>
      </c>
    </row>
    <row r="83" spans="1:11" s="33" customFormat="1" thickBot="1">
      <c r="A83" s="156" t="s">
        <v>226</v>
      </c>
      <c r="B83" s="158">
        <v>4</v>
      </c>
      <c r="C83" s="155">
        <v>2</v>
      </c>
      <c r="D83" s="156">
        <f t="shared" si="9"/>
        <v>8</v>
      </c>
    </row>
    <row r="84" spans="1:11" s="33" customFormat="1" ht="17.399999999999999" customHeight="1" thickBot="1">
      <c r="A84" s="175"/>
      <c r="B84" s="418" t="s">
        <v>60</v>
      </c>
      <c r="C84" s="419"/>
      <c r="D84" s="223">
        <f>SUM(D77:D83)</f>
        <v>248.00000000000003</v>
      </c>
      <c r="E84" s="224" t="s">
        <v>20</v>
      </c>
      <c r="F84" s="54"/>
      <c r="G84" s="35"/>
      <c r="H84" s="54"/>
      <c r="I84" s="54"/>
      <c r="J84" s="35"/>
    </row>
    <row r="85" spans="1:11" s="33" customFormat="1" ht="7.95" customHeight="1">
      <c r="A85" s="165"/>
      <c r="B85" s="166"/>
      <c r="C85" s="166"/>
      <c r="D85" s="166"/>
      <c r="E85" s="166"/>
      <c r="F85" s="166"/>
      <c r="G85" s="166"/>
      <c r="H85" s="166"/>
      <c r="I85" s="166"/>
      <c r="J85" s="166"/>
      <c r="K85" s="184"/>
    </row>
    <row r="86" spans="1:11" s="1" customFormat="1" ht="20.100000000000001" customHeight="1">
      <c r="A86" s="428" t="str">
        <f>'Planilha Orcamentária'!D28</f>
        <v>MORRO DO MATÃO - TRECHO 03</v>
      </c>
      <c r="B86" s="429"/>
      <c r="C86" s="429"/>
      <c r="D86" s="429"/>
      <c r="E86" s="429"/>
      <c r="F86" s="429"/>
      <c r="G86" s="429"/>
      <c r="H86" s="429"/>
      <c r="I86" s="429"/>
      <c r="J86" s="429"/>
      <c r="K86" s="430"/>
    </row>
    <row r="87" spans="1:11" s="33" customFormat="1" ht="7.95" customHeight="1">
      <c r="A87" s="175"/>
      <c r="B87" s="176"/>
      <c r="C87" s="177"/>
      <c r="D87" s="54"/>
      <c r="E87" s="54"/>
      <c r="F87" s="54"/>
      <c r="G87" s="35"/>
      <c r="H87" s="54"/>
      <c r="I87" s="54"/>
      <c r="J87" s="35"/>
      <c r="K87" s="178"/>
    </row>
    <row r="88" spans="1:11" s="33" customFormat="1" ht="14.4">
      <c r="A88" s="183" t="str">
        <f>'Planilha Orcamentária'!A29</f>
        <v>6.0</v>
      </c>
      <c r="B88" s="426" t="str">
        <f>'Planilha Orcamentária'!D29</f>
        <v>SERVIÇOS DE CALÇAMENTO EM BLOQUETE</v>
      </c>
      <c r="C88" s="426"/>
      <c r="D88" s="426"/>
      <c r="E88" s="426"/>
      <c r="F88" s="426"/>
      <c r="G88" s="426"/>
      <c r="H88" s="426"/>
      <c r="I88" s="426"/>
      <c r="J88" s="426"/>
      <c r="K88" s="427"/>
    </row>
    <row r="89" spans="1:11" s="33" customFormat="1" ht="7.95" customHeight="1">
      <c r="A89" s="175"/>
      <c r="B89" s="176"/>
      <c r="C89" s="177"/>
      <c r="D89" s="54"/>
      <c r="E89" s="54"/>
      <c r="F89" s="54"/>
      <c r="G89" s="35"/>
      <c r="H89" s="54"/>
      <c r="I89" s="54"/>
      <c r="J89" s="35"/>
      <c r="K89" s="178"/>
    </row>
    <row r="90" spans="1:11" s="33" customFormat="1" ht="15" customHeight="1">
      <c r="A90" s="180" t="str">
        <f>'Planilha Orcamentária'!A30</f>
        <v>6.1</v>
      </c>
      <c r="B90" s="424" t="str">
        <f>'Planilha Orcamentária'!D30</f>
        <v>REGULARIZAÇÃO E COMPACTAÇÃO DE SUBLEITO DE SOLO PREDOMINANTEMENTE ARGILOSO, PARA OBRAS DE CONSTRUÇÃO DE PAVIMENTOS. AF_09/2024</v>
      </c>
      <c r="C90" s="424"/>
      <c r="D90" s="424"/>
      <c r="E90" s="424"/>
      <c r="F90" s="424"/>
      <c r="G90" s="424"/>
      <c r="H90" s="424"/>
      <c r="I90" s="424"/>
      <c r="J90" s="424"/>
      <c r="K90" s="425"/>
    </row>
    <row r="91" spans="1:11" s="33" customFormat="1" ht="7.95" customHeight="1">
      <c r="A91" s="175"/>
      <c r="B91" s="176"/>
      <c r="C91" s="177"/>
      <c r="D91" s="54"/>
      <c r="E91" s="54"/>
      <c r="F91" s="54"/>
      <c r="G91" s="35"/>
      <c r="H91" s="54"/>
      <c r="I91" s="54"/>
      <c r="J91" s="35"/>
      <c r="K91" s="178"/>
    </row>
    <row r="92" spans="1:11" s="33" customFormat="1" ht="14.4">
      <c r="A92" s="156" t="s">
        <v>242</v>
      </c>
      <c r="B92" s="158">
        <v>16.2</v>
      </c>
      <c r="C92" s="155">
        <v>4.2</v>
      </c>
      <c r="D92" s="156">
        <f t="shared" ref="D92:D96" si="12">B92*C92</f>
        <v>68.040000000000006</v>
      </c>
    </row>
    <row r="93" spans="1:11" s="33" customFormat="1" ht="14.4">
      <c r="A93" s="175"/>
      <c r="B93" s="158">
        <v>24.25</v>
      </c>
      <c r="C93" s="155">
        <v>4.2</v>
      </c>
      <c r="D93" s="156">
        <f t="shared" si="12"/>
        <v>101.85000000000001</v>
      </c>
    </row>
    <row r="94" spans="1:11" s="33" customFormat="1" ht="14.4">
      <c r="A94" s="175"/>
      <c r="B94" s="158">
        <v>22.6</v>
      </c>
      <c r="C94" s="155">
        <v>4.2</v>
      </c>
      <c r="D94" s="156">
        <f t="shared" si="12"/>
        <v>94.920000000000016</v>
      </c>
    </row>
    <row r="95" spans="1:11" s="33" customFormat="1" ht="14.4">
      <c r="A95" s="175"/>
      <c r="B95" s="158">
        <v>36.950000000000003</v>
      </c>
      <c r="C95" s="155">
        <v>4.2</v>
      </c>
      <c r="D95" s="156">
        <f t="shared" si="12"/>
        <v>155.19000000000003</v>
      </c>
    </row>
    <row r="96" spans="1:11" s="33" customFormat="1" thickBot="1">
      <c r="A96" s="175"/>
      <c r="B96" s="158">
        <v>20</v>
      </c>
      <c r="C96" s="155">
        <v>4.2</v>
      </c>
      <c r="D96" s="156">
        <f t="shared" si="12"/>
        <v>84</v>
      </c>
    </row>
    <row r="97" spans="1:11" s="33" customFormat="1" ht="17.399999999999999" customHeight="1" thickBot="1">
      <c r="A97" s="175"/>
      <c r="B97" s="418" t="s">
        <v>60</v>
      </c>
      <c r="C97" s="419"/>
      <c r="D97" s="223">
        <f>SUM(D92:D96)</f>
        <v>504.00000000000011</v>
      </c>
      <c r="E97" s="224" t="s">
        <v>15</v>
      </c>
      <c r="F97" s="54"/>
      <c r="G97" s="35"/>
      <c r="H97" s="54"/>
      <c r="I97" s="54"/>
      <c r="J97" s="35"/>
    </row>
    <row r="98" spans="1:11" s="33" customFormat="1" ht="7.95" customHeight="1">
      <c r="A98" s="175"/>
      <c r="B98" s="176"/>
      <c r="C98" s="177"/>
      <c r="D98" s="54"/>
      <c r="E98" s="54"/>
      <c r="F98" s="54"/>
      <c r="G98" s="35"/>
      <c r="H98" s="54"/>
      <c r="I98" s="54"/>
      <c r="J98" s="35"/>
    </row>
    <row r="99" spans="1:11" s="33" customFormat="1" ht="15" customHeight="1">
      <c r="A99" s="180" t="str">
        <f>'Planilha Orcamentária'!A31</f>
        <v>6.2</v>
      </c>
      <c r="B99" s="424" t="str">
        <f>'Planilha Orcamentária'!D31</f>
        <v>EXECUÇÃO DE PAVIMENTO EM PISO INTERTRAVADO, COM BLOCO SEXTAVADO DE 25 X 25 CM, ESPESSURA 8 CM. AF_10/2022</v>
      </c>
      <c r="C99" s="424"/>
      <c r="D99" s="424"/>
      <c r="E99" s="424"/>
      <c r="F99" s="424"/>
      <c r="G99" s="424"/>
      <c r="H99" s="424"/>
      <c r="I99" s="424"/>
      <c r="J99" s="424"/>
      <c r="K99" s="425"/>
    </row>
    <row r="100" spans="1:11" s="33" customFormat="1" ht="7.95" customHeight="1">
      <c r="A100" s="175"/>
      <c r="B100" s="176"/>
      <c r="C100" s="177"/>
      <c r="D100" s="54"/>
      <c r="E100" s="54"/>
      <c r="F100" s="54"/>
      <c r="G100" s="35"/>
      <c r="H100" s="54"/>
      <c r="I100" s="54"/>
      <c r="J100" s="35"/>
      <c r="K100" s="178"/>
    </row>
    <row r="101" spans="1:11" s="33" customFormat="1" ht="14.4">
      <c r="A101" s="156" t="s">
        <v>243</v>
      </c>
      <c r="B101" s="158">
        <f>B92</f>
        <v>16.2</v>
      </c>
      <c r="C101" s="155">
        <v>4</v>
      </c>
      <c r="D101" s="156">
        <f t="shared" ref="D101:D105" si="13">B101*C101</f>
        <v>64.8</v>
      </c>
    </row>
    <row r="102" spans="1:11" s="33" customFormat="1" ht="14.4">
      <c r="A102" s="175"/>
      <c r="B102" s="158">
        <f t="shared" ref="B102:B105" si="14">B93</f>
        <v>24.25</v>
      </c>
      <c r="C102" s="155">
        <v>4</v>
      </c>
      <c r="D102" s="156">
        <f t="shared" si="13"/>
        <v>97</v>
      </c>
    </row>
    <row r="103" spans="1:11" s="33" customFormat="1" ht="14.4">
      <c r="A103" s="175"/>
      <c r="B103" s="158">
        <f t="shared" si="14"/>
        <v>22.6</v>
      </c>
      <c r="C103" s="155">
        <v>4</v>
      </c>
      <c r="D103" s="156">
        <f t="shared" si="13"/>
        <v>90.4</v>
      </c>
    </row>
    <row r="104" spans="1:11" s="33" customFormat="1" ht="14.4">
      <c r="A104" s="175"/>
      <c r="B104" s="158">
        <f t="shared" si="14"/>
        <v>36.950000000000003</v>
      </c>
      <c r="C104" s="155">
        <v>4</v>
      </c>
      <c r="D104" s="156">
        <f t="shared" si="13"/>
        <v>147.80000000000001</v>
      </c>
    </row>
    <row r="105" spans="1:11" s="33" customFormat="1" thickBot="1">
      <c r="A105" s="175"/>
      <c r="B105" s="158">
        <f t="shared" si="14"/>
        <v>20</v>
      </c>
      <c r="C105" s="155">
        <v>4</v>
      </c>
      <c r="D105" s="156">
        <f t="shared" si="13"/>
        <v>80</v>
      </c>
    </row>
    <row r="106" spans="1:11" s="33" customFormat="1" ht="17.399999999999999" customHeight="1" thickBot="1">
      <c r="A106" s="175"/>
      <c r="B106" s="418" t="s">
        <v>60</v>
      </c>
      <c r="C106" s="419"/>
      <c r="D106" s="223">
        <f>SUM(D101:D105)</f>
        <v>480</v>
      </c>
      <c r="E106" s="224" t="s">
        <v>15</v>
      </c>
      <c r="F106" s="54"/>
      <c r="G106" s="35"/>
      <c r="H106" s="54"/>
      <c r="I106" s="54"/>
      <c r="J106" s="35"/>
    </row>
    <row r="107" spans="1:11" s="33" customFormat="1" ht="7.95" customHeight="1">
      <c r="A107" s="175"/>
      <c r="B107" s="176"/>
      <c r="C107" s="177"/>
      <c r="D107" s="54"/>
      <c r="E107" s="54"/>
      <c r="F107" s="54"/>
      <c r="G107" s="35"/>
      <c r="H107" s="54"/>
      <c r="I107" s="54"/>
      <c r="J107" s="35"/>
    </row>
    <row r="108" spans="1:11" s="36" customFormat="1" ht="18.75" customHeight="1">
      <c r="A108" s="183" t="str">
        <f>'Planilha Orcamentária'!A33</f>
        <v>7.0</v>
      </c>
      <c r="B108" s="426" t="str">
        <f>'Planilha Orcamentária'!D33</f>
        <v>OBRAS COMPLEMENTARES</v>
      </c>
      <c r="C108" s="426"/>
      <c r="D108" s="426"/>
      <c r="E108" s="426"/>
      <c r="F108" s="426"/>
      <c r="G108" s="426"/>
      <c r="H108" s="426"/>
      <c r="I108" s="426"/>
      <c r="J108" s="426"/>
      <c r="K108" s="427"/>
    </row>
    <row r="109" spans="1:11" s="33" customFormat="1" ht="7.95" customHeight="1">
      <c r="A109" s="165"/>
      <c r="B109" s="166"/>
      <c r="C109" s="166"/>
      <c r="D109" s="166"/>
      <c r="E109" s="166"/>
      <c r="F109" s="166"/>
      <c r="G109" s="166"/>
      <c r="H109" s="166"/>
      <c r="I109" s="166"/>
      <c r="J109" s="166"/>
      <c r="K109" s="184"/>
    </row>
    <row r="110" spans="1:11" s="33" customFormat="1" ht="15" customHeight="1">
      <c r="A110" s="180" t="str">
        <f>'Planilha Orcamentária'!A34</f>
        <v>7.1</v>
      </c>
      <c r="B110" s="424" t="str">
        <f>'Planilha Orcamentária'!D34</f>
        <v>ASSENTAMENTO DE GUIA (MEIO-FIO) EM TRECHO RETO, CONFECCIONADA EM CONCRETO PRÉ-FABRICADO, DIMENSÕES 100X15X13X30 CM (COMPRIMENTO X BASE INFERIOR X BASE SUPERIOR X ALTURA). AF_01/2024</v>
      </c>
      <c r="C110" s="424"/>
      <c r="D110" s="424"/>
      <c r="E110" s="424"/>
      <c r="F110" s="424"/>
      <c r="G110" s="424"/>
      <c r="H110" s="424"/>
      <c r="I110" s="424"/>
      <c r="J110" s="424"/>
      <c r="K110" s="425"/>
    </row>
    <row r="111" spans="1:11" s="33" customFormat="1" ht="7.95" customHeight="1">
      <c r="A111" s="175"/>
      <c r="B111" s="176"/>
      <c r="C111" s="177"/>
      <c r="D111" s="54"/>
      <c r="E111" s="54"/>
      <c r="F111" s="54"/>
      <c r="G111" s="35"/>
      <c r="H111" s="54"/>
      <c r="I111" s="54"/>
      <c r="J111" s="35"/>
      <c r="K111" s="178"/>
    </row>
    <row r="112" spans="1:11" s="33" customFormat="1" ht="14.4">
      <c r="A112" s="156" t="s">
        <v>242</v>
      </c>
      <c r="B112" s="158">
        <f>B101</f>
        <v>16.2</v>
      </c>
      <c r="C112" s="155">
        <v>2</v>
      </c>
      <c r="D112" s="156">
        <f t="shared" ref="D112:D117" si="15">B112*C112</f>
        <v>32.4</v>
      </c>
    </row>
    <row r="113" spans="1:11" s="33" customFormat="1" ht="14.4">
      <c r="A113" s="175"/>
      <c r="B113" s="158">
        <f t="shared" ref="B113:B116" si="16">B102</f>
        <v>24.25</v>
      </c>
      <c r="C113" s="155">
        <v>2</v>
      </c>
      <c r="D113" s="156">
        <f t="shared" si="15"/>
        <v>48.5</v>
      </c>
    </row>
    <row r="114" spans="1:11" s="33" customFormat="1" ht="14.4">
      <c r="A114" s="175"/>
      <c r="B114" s="158">
        <f t="shared" si="16"/>
        <v>22.6</v>
      </c>
      <c r="C114" s="155">
        <v>2</v>
      </c>
      <c r="D114" s="156">
        <f t="shared" si="15"/>
        <v>45.2</v>
      </c>
    </row>
    <row r="115" spans="1:11" s="33" customFormat="1" ht="14.4">
      <c r="A115" s="175"/>
      <c r="B115" s="158">
        <f t="shared" si="16"/>
        <v>36.950000000000003</v>
      </c>
      <c r="C115" s="155">
        <v>2</v>
      </c>
      <c r="D115" s="156">
        <f t="shared" si="15"/>
        <v>73.900000000000006</v>
      </c>
    </row>
    <row r="116" spans="1:11" s="33" customFormat="1" ht="14.4">
      <c r="A116" s="175"/>
      <c r="B116" s="158">
        <f t="shared" si="16"/>
        <v>20</v>
      </c>
      <c r="C116" s="155">
        <v>2</v>
      </c>
      <c r="D116" s="156">
        <f t="shared" si="15"/>
        <v>40</v>
      </c>
    </row>
    <row r="117" spans="1:11" s="33" customFormat="1" thickBot="1">
      <c r="A117" s="156" t="s">
        <v>226</v>
      </c>
      <c r="B117" s="158">
        <v>4</v>
      </c>
      <c r="C117" s="155">
        <v>2</v>
      </c>
      <c r="D117" s="156">
        <f t="shared" si="15"/>
        <v>8</v>
      </c>
    </row>
    <row r="118" spans="1:11" s="33" customFormat="1" ht="17.399999999999999" customHeight="1" thickBot="1">
      <c r="A118" s="175"/>
      <c r="B118" s="418" t="s">
        <v>60</v>
      </c>
      <c r="C118" s="419"/>
      <c r="D118" s="223">
        <f>SUM(D112:D117)</f>
        <v>248</v>
      </c>
      <c r="E118" s="224" t="s">
        <v>20</v>
      </c>
      <c r="F118" s="54"/>
      <c r="G118" s="35"/>
      <c r="H118" s="54"/>
      <c r="I118" s="54"/>
      <c r="J118" s="35"/>
    </row>
    <row r="119" spans="1:11" s="33" customFormat="1" ht="7.95" customHeight="1">
      <c r="A119" s="165"/>
      <c r="B119" s="166"/>
      <c r="C119" s="166"/>
      <c r="D119" s="166"/>
      <c r="E119" s="166"/>
      <c r="F119" s="166"/>
      <c r="G119" s="166"/>
      <c r="H119" s="166"/>
      <c r="I119" s="166"/>
      <c r="J119" s="166"/>
      <c r="K119" s="184"/>
    </row>
    <row r="120" spans="1:11" s="1" customFormat="1" ht="20.100000000000001" customHeight="1">
      <c r="A120" s="428" t="str">
        <f>'Planilha Orcamentária'!D36</f>
        <v>MORRO DO RIO GRANDE - TRECHO 04</v>
      </c>
      <c r="B120" s="429"/>
      <c r="C120" s="429"/>
      <c r="D120" s="429"/>
      <c r="E120" s="429"/>
      <c r="F120" s="429"/>
      <c r="G120" s="429"/>
      <c r="H120" s="429"/>
      <c r="I120" s="429"/>
      <c r="J120" s="429"/>
      <c r="K120" s="430"/>
    </row>
    <row r="121" spans="1:11" s="33" customFormat="1" ht="7.95" customHeight="1">
      <c r="A121" s="175"/>
      <c r="B121" s="176"/>
      <c r="C121" s="177"/>
      <c r="D121" s="54"/>
      <c r="E121" s="54"/>
      <c r="F121" s="54"/>
      <c r="G121" s="35"/>
      <c r="H121" s="54"/>
      <c r="I121" s="54"/>
      <c r="J121" s="35"/>
      <c r="K121" s="178"/>
    </row>
    <row r="122" spans="1:11" s="33" customFormat="1" ht="14.4">
      <c r="A122" s="183" t="str">
        <f>'Planilha Orcamentária'!A37</f>
        <v>8.0</v>
      </c>
      <c r="B122" s="426" t="str">
        <f>'Planilha Orcamentária'!D37</f>
        <v>SERVIÇOS DE CALÇAMENTO EM BLOQUETE</v>
      </c>
      <c r="C122" s="426"/>
      <c r="D122" s="426"/>
      <c r="E122" s="426"/>
      <c r="F122" s="426"/>
      <c r="G122" s="426"/>
      <c r="H122" s="426"/>
      <c r="I122" s="426"/>
      <c r="J122" s="426"/>
      <c r="K122" s="427"/>
    </row>
    <row r="123" spans="1:11" s="33" customFormat="1" ht="7.95" customHeight="1">
      <c r="A123" s="175"/>
      <c r="B123" s="176"/>
      <c r="C123" s="177"/>
      <c r="D123" s="54"/>
      <c r="E123" s="54"/>
      <c r="F123" s="54"/>
      <c r="G123" s="35"/>
      <c r="H123" s="54"/>
      <c r="I123" s="54"/>
      <c r="J123" s="35"/>
      <c r="K123" s="178"/>
    </row>
    <row r="124" spans="1:11" s="33" customFormat="1" ht="15" customHeight="1">
      <c r="A124" s="180" t="str">
        <f>'Planilha Orcamentária'!A38</f>
        <v>8.1</v>
      </c>
      <c r="B124" s="424" t="str">
        <f>'Planilha Orcamentária'!D38</f>
        <v>REGULARIZAÇÃO E COMPACTAÇÃO DE SUBLEITO DE SOLO PREDOMINANTEMENTE ARGILOSO, PARA OBRAS DE CONSTRUÇÃO DE PAVIMENTOS. AF_09/2024</v>
      </c>
      <c r="C124" s="424"/>
      <c r="D124" s="424"/>
      <c r="E124" s="424"/>
      <c r="F124" s="424"/>
      <c r="G124" s="424"/>
      <c r="H124" s="424"/>
      <c r="I124" s="424"/>
      <c r="J124" s="424"/>
      <c r="K124" s="425"/>
    </row>
    <row r="125" spans="1:11" s="33" customFormat="1" ht="7.95" customHeight="1">
      <c r="A125" s="175"/>
      <c r="B125" s="176"/>
      <c r="C125" s="177"/>
      <c r="D125" s="54"/>
      <c r="E125" s="54"/>
      <c r="F125" s="54"/>
      <c r="G125" s="35"/>
      <c r="H125" s="54"/>
      <c r="I125" s="54"/>
      <c r="J125" s="35"/>
      <c r="K125" s="178"/>
    </row>
    <row r="126" spans="1:11" s="33" customFormat="1" ht="14.4">
      <c r="A126" s="156" t="s">
        <v>244</v>
      </c>
      <c r="B126" s="158">
        <v>30</v>
      </c>
      <c r="C126" s="155">
        <v>4.2</v>
      </c>
      <c r="D126" s="156">
        <f t="shared" ref="D126:D127" si="17">B126*C126</f>
        <v>126</v>
      </c>
    </row>
    <row r="127" spans="1:11" s="33" customFormat="1" thickBot="1">
      <c r="A127" s="175"/>
      <c r="B127" s="158">
        <v>26</v>
      </c>
      <c r="C127" s="155">
        <v>4.2</v>
      </c>
      <c r="D127" s="156">
        <f t="shared" si="17"/>
        <v>109.2</v>
      </c>
    </row>
    <row r="128" spans="1:11" s="33" customFormat="1" ht="17.399999999999999" customHeight="1" thickBot="1">
      <c r="A128" s="175"/>
      <c r="B128" s="418" t="s">
        <v>60</v>
      </c>
      <c r="C128" s="419"/>
      <c r="D128" s="223">
        <f>SUM(D126:D127)</f>
        <v>235.2</v>
      </c>
      <c r="E128" s="224" t="s">
        <v>15</v>
      </c>
      <c r="F128" s="54"/>
      <c r="G128" s="35"/>
      <c r="H128" s="54"/>
      <c r="I128" s="54"/>
      <c r="J128" s="35"/>
    </row>
    <row r="129" spans="1:11" s="33" customFormat="1" ht="7.95" customHeight="1">
      <c r="A129" s="175"/>
      <c r="B129" s="176"/>
      <c r="C129" s="177"/>
      <c r="D129" s="54"/>
      <c r="E129" s="54"/>
      <c r="F129" s="54"/>
      <c r="G129" s="35"/>
      <c r="H129" s="54"/>
      <c r="I129" s="54"/>
      <c r="J129" s="35"/>
    </row>
    <row r="130" spans="1:11" s="33" customFormat="1" ht="15" customHeight="1">
      <c r="A130" s="180" t="str">
        <f>'Planilha Orcamentária'!A39</f>
        <v>8.2</v>
      </c>
      <c r="B130" s="424" t="str">
        <f>'Planilha Orcamentária'!D39</f>
        <v>EXECUÇÃO DE PAVIMENTO EM PISO INTERTRAVADO, COM BLOCO SEXTAVADO DE 25 X 25 CM, ESPESSURA 8 CM. AF_10/2022</v>
      </c>
      <c r="C130" s="424"/>
      <c r="D130" s="424"/>
      <c r="E130" s="424"/>
      <c r="F130" s="424"/>
      <c r="G130" s="424"/>
      <c r="H130" s="424"/>
      <c r="I130" s="424"/>
      <c r="J130" s="424"/>
      <c r="K130" s="425"/>
    </row>
    <row r="131" spans="1:11" s="33" customFormat="1" ht="7.95" customHeight="1">
      <c r="A131" s="175"/>
      <c r="B131" s="176"/>
      <c r="C131" s="177"/>
      <c r="D131" s="54"/>
      <c r="E131" s="54"/>
      <c r="F131" s="54"/>
      <c r="G131" s="35"/>
      <c r="H131" s="54"/>
      <c r="I131" s="54"/>
      <c r="J131" s="35"/>
      <c r="K131" s="178"/>
    </row>
    <row r="132" spans="1:11" s="33" customFormat="1" ht="14.4">
      <c r="A132" s="156" t="s">
        <v>244</v>
      </c>
      <c r="B132" s="158">
        <f>B126</f>
        <v>30</v>
      </c>
      <c r="C132" s="155">
        <v>4</v>
      </c>
      <c r="D132" s="156">
        <f t="shared" ref="D132:D133" si="18">B132*C132</f>
        <v>120</v>
      </c>
    </row>
    <row r="133" spans="1:11" s="33" customFormat="1" thickBot="1">
      <c r="A133" s="175"/>
      <c r="B133" s="158">
        <f>B127</f>
        <v>26</v>
      </c>
      <c r="C133" s="155">
        <v>4</v>
      </c>
      <c r="D133" s="156">
        <f t="shared" si="18"/>
        <v>104</v>
      </c>
    </row>
    <row r="134" spans="1:11" s="33" customFormat="1" ht="17.399999999999999" customHeight="1" thickBot="1">
      <c r="A134" s="175"/>
      <c r="B134" s="418" t="s">
        <v>60</v>
      </c>
      <c r="C134" s="419"/>
      <c r="D134" s="223">
        <f>SUM(D132:D133)</f>
        <v>224</v>
      </c>
      <c r="E134" s="224" t="s">
        <v>15</v>
      </c>
      <c r="F134" s="54"/>
      <c r="G134" s="35"/>
      <c r="H134" s="54"/>
      <c r="I134" s="54"/>
      <c r="J134" s="35"/>
    </row>
    <row r="135" spans="1:11" s="33" customFormat="1" ht="7.95" customHeight="1">
      <c r="A135" s="175"/>
      <c r="B135" s="176"/>
      <c r="C135" s="177"/>
      <c r="D135" s="54"/>
      <c r="E135" s="54"/>
      <c r="F135" s="54"/>
      <c r="G135" s="35"/>
      <c r="H135" s="54"/>
      <c r="I135" s="54"/>
      <c r="J135" s="35"/>
    </row>
    <row r="136" spans="1:11" s="36" customFormat="1" ht="18.75" customHeight="1">
      <c r="A136" s="183" t="str">
        <f>'Planilha Orcamentária'!A41</f>
        <v>9.0</v>
      </c>
      <c r="B136" s="426" t="str">
        <f>'Planilha Orcamentária'!D41</f>
        <v>OBRAS COMPLEMENTARES</v>
      </c>
      <c r="C136" s="426"/>
      <c r="D136" s="426"/>
      <c r="E136" s="426"/>
      <c r="F136" s="426"/>
      <c r="G136" s="426"/>
      <c r="H136" s="426"/>
      <c r="I136" s="426"/>
      <c r="J136" s="426"/>
      <c r="K136" s="427"/>
    </row>
    <row r="137" spans="1:11" s="33" customFormat="1" ht="7.95" customHeight="1">
      <c r="A137" s="165"/>
      <c r="B137" s="166"/>
      <c r="C137" s="166"/>
      <c r="D137" s="166"/>
      <c r="E137" s="166"/>
      <c r="F137" s="166"/>
      <c r="G137" s="166"/>
      <c r="H137" s="166"/>
      <c r="I137" s="166"/>
      <c r="J137" s="166"/>
      <c r="K137" s="184"/>
    </row>
    <row r="138" spans="1:11" s="33" customFormat="1" ht="15" customHeight="1">
      <c r="A138" s="180" t="str">
        <f>'Planilha Orcamentária'!A42</f>
        <v>9.1</v>
      </c>
      <c r="B138" s="424" t="str">
        <f>'Planilha Orcamentária'!D42</f>
        <v>ASSENTAMENTO DE GUIA (MEIO-FIO) EM TRECHO RETO, CONFECCIONADA EM CONCRETO PRÉ-FABRICADO, DIMENSÕES 100X15X13X30 CM (COMPRIMENTO X BASE INFERIOR X BASE SUPERIOR X ALTURA). AF_01/2024</v>
      </c>
      <c r="C138" s="424"/>
      <c r="D138" s="424"/>
      <c r="E138" s="424"/>
      <c r="F138" s="424"/>
      <c r="G138" s="424"/>
      <c r="H138" s="424"/>
      <c r="I138" s="424"/>
      <c r="J138" s="424"/>
      <c r="K138" s="425"/>
    </row>
    <row r="139" spans="1:11" s="33" customFormat="1" ht="7.95" customHeight="1">
      <c r="A139" s="175"/>
      <c r="B139" s="176"/>
      <c r="C139" s="177"/>
      <c r="D139" s="54"/>
      <c r="E139" s="54"/>
      <c r="F139" s="54"/>
      <c r="G139" s="35"/>
      <c r="H139" s="54"/>
      <c r="I139" s="54"/>
      <c r="J139" s="35"/>
      <c r="K139" s="178"/>
    </row>
    <row r="140" spans="1:11" s="33" customFormat="1" ht="14.4">
      <c r="A140" s="156" t="s">
        <v>244</v>
      </c>
      <c r="B140" s="158">
        <f>B132</f>
        <v>30</v>
      </c>
      <c r="C140" s="155">
        <v>2</v>
      </c>
      <c r="D140" s="156">
        <f t="shared" ref="D140:D142" si="19">B140*C140</f>
        <v>60</v>
      </c>
    </row>
    <row r="141" spans="1:11" s="33" customFormat="1" ht="14.4">
      <c r="A141" s="175"/>
      <c r="B141" s="158">
        <f>B133</f>
        <v>26</v>
      </c>
      <c r="C141" s="155">
        <v>2</v>
      </c>
      <c r="D141" s="156">
        <f t="shared" si="19"/>
        <v>52</v>
      </c>
    </row>
    <row r="142" spans="1:11" s="33" customFormat="1" thickBot="1">
      <c r="A142" s="156" t="s">
        <v>226</v>
      </c>
      <c r="B142" s="158">
        <v>4</v>
      </c>
      <c r="C142" s="155">
        <v>2</v>
      </c>
      <c r="D142" s="156">
        <f t="shared" si="19"/>
        <v>8</v>
      </c>
    </row>
    <row r="143" spans="1:11" s="33" customFormat="1" ht="17.399999999999999" customHeight="1" thickBot="1">
      <c r="A143" s="175"/>
      <c r="B143" s="418" t="s">
        <v>60</v>
      </c>
      <c r="C143" s="419"/>
      <c r="D143" s="223">
        <f>SUM(D140:D142)</f>
        <v>120</v>
      </c>
      <c r="E143" s="224" t="s">
        <v>20</v>
      </c>
      <c r="F143" s="54"/>
      <c r="G143" s="35"/>
      <c r="H143" s="54"/>
      <c r="I143" s="54"/>
      <c r="J143" s="35"/>
    </row>
    <row r="144" spans="1:11" s="33" customFormat="1" ht="7.95" customHeight="1">
      <c r="A144" s="165"/>
      <c r="B144" s="166"/>
      <c r="C144" s="166"/>
      <c r="D144" s="166"/>
      <c r="E144" s="166"/>
      <c r="F144" s="166"/>
      <c r="G144" s="166"/>
      <c r="H144" s="166"/>
      <c r="I144" s="166"/>
      <c r="J144" s="166"/>
      <c r="K144" s="184"/>
    </row>
    <row r="145" spans="1:11" ht="15" customHeight="1">
      <c r="A145" s="39"/>
      <c r="C145" s="41"/>
      <c r="D145" s="41"/>
      <c r="E145" s="41"/>
      <c r="G145" s="41"/>
      <c r="H145" s="41"/>
      <c r="I145" s="40"/>
      <c r="J145" s="40"/>
      <c r="K145" s="40"/>
    </row>
    <row r="146" spans="1:11" ht="15" customHeight="1">
      <c r="A146" s="39"/>
      <c r="C146" s="41"/>
      <c r="D146" s="41"/>
      <c r="E146" s="41"/>
      <c r="G146" s="41"/>
      <c r="H146" s="41"/>
      <c r="I146" s="40"/>
      <c r="J146" s="40"/>
      <c r="K146" s="40"/>
    </row>
    <row r="147" spans="1:11" ht="15" customHeight="1">
      <c r="A147" s="39"/>
      <c r="C147" s="41"/>
      <c r="D147" s="41"/>
      <c r="E147" s="41"/>
      <c r="G147" s="41"/>
      <c r="H147" s="41"/>
      <c r="I147" s="40"/>
      <c r="J147" s="40"/>
      <c r="K147" s="40"/>
    </row>
    <row r="148" spans="1:11" ht="15" customHeight="1">
      <c r="A148" s="41"/>
      <c r="C148" s="41"/>
      <c r="D148" s="41"/>
      <c r="E148" s="41"/>
      <c r="G148" s="41"/>
      <c r="H148" s="41"/>
      <c r="I148" s="40"/>
      <c r="J148" s="40"/>
      <c r="K148" s="40"/>
    </row>
    <row r="149" spans="1:11" ht="15" customHeight="1">
      <c r="A149" s="41"/>
      <c r="C149" s="41"/>
      <c r="D149" s="41"/>
      <c r="E149" s="41"/>
      <c r="G149" s="41"/>
      <c r="H149" s="41"/>
      <c r="I149" s="40"/>
      <c r="J149" s="40"/>
      <c r="K149" s="40"/>
    </row>
    <row r="150" spans="1:11" ht="15" customHeight="1">
      <c r="A150" s="41"/>
      <c r="C150" s="41"/>
      <c r="D150" s="41"/>
      <c r="E150" s="41"/>
      <c r="G150" s="41"/>
      <c r="H150" s="41"/>
      <c r="I150" s="40"/>
      <c r="J150" s="40"/>
      <c r="K150" s="40"/>
    </row>
    <row r="151" spans="1:11" ht="15" customHeight="1">
      <c r="A151" s="41"/>
      <c r="C151" s="41"/>
      <c r="D151" s="41"/>
      <c r="E151" s="41"/>
      <c r="G151" s="41"/>
      <c r="H151" s="41"/>
      <c r="I151" s="40"/>
      <c r="J151" s="40"/>
      <c r="K151" s="40"/>
    </row>
    <row r="152" spans="1:11" ht="15" customHeight="1">
      <c r="A152" s="41"/>
      <c r="C152" s="41"/>
      <c r="D152" s="41"/>
      <c r="E152" s="41"/>
      <c r="G152" s="41"/>
      <c r="H152" s="41"/>
      <c r="I152" s="40"/>
      <c r="J152" s="40"/>
      <c r="K152" s="40"/>
    </row>
    <row r="153" spans="1:11" ht="15" customHeight="1">
      <c r="A153" s="41"/>
      <c r="C153" s="41"/>
      <c r="D153" s="41"/>
      <c r="E153" s="41"/>
      <c r="G153" s="41"/>
      <c r="H153" s="41"/>
      <c r="I153" s="40"/>
      <c r="J153" s="40"/>
      <c r="K153" s="40"/>
    </row>
    <row r="154" spans="1:11" ht="15" customHeight="1">
      <c r="A154" s="41"/>
      <c r="C154" s="41"/>
      <c r="D154" s="41"/>
      <c r="E154" s="41"/>
      <c r="G154" s="41"/>
      <c r="H154" s="41"/>
      <c r="I154" s="40"/>
      <c r="J154" s="40"/>
      <c r="K154" s="40"/>
    </row>
    <row r="155" spans="1:11" ht="15" customHeight="1">
      <c r="A155" s="41"/>
      <c r="C155" s="41"/>
      <c r="D155" s="41"/>
      <c r="E155" s="41"/>
      <c r="G155" s="41"/>
      <c r="H155" s="41"/>
      <c r="I155" s="40"/>
      <c r="J155" s="40"/>
      <c r="K155" s="40"/>
    </row>
    <row r="156" spans="1:11" ht="15" customHeight="1">
      <c r="A156" s="41"/>
      <c r="C156" s="41"/>
      <c r="D156" s="41"/>
      <c r="E156" s="41"/>
      <c r="G156" s="41"/>
      <c r="H156" s="41"/>
      <c r="I156" s="40"/>
      <c r="J156" s="40"/>
      <c r="K156" s="40"/>
    </row>
    <row r="157" spans="1:11" ht="15" customHeight="1">
      <c r="A157" s="41"/>
      <c r="C157" s="41"/>
      <c r="D157" s="41"/>
      <c r="E157" s="41"/>
      <c r="G157" s="41"/>
      <c r="H157" s="41"/>
      <c r="I157" s="40"/>
      <c r="J157" s="40"/>
      <c r="K157" s="40"/>
    </row>
    <row r="158" spans="1:11" ht="15" customHeight="1">
      <c r="A158" s="41"/>
      <c r="C158" s="41"/>
      <c r="D158" s="41"/>
      <c r="E158" s="41"/>
      <c r="G158" s="41"/>
      <c r="H158" s="41"/>
      <c r="I158" s="40"/>
      <c r="J158" s="40"/>
      <c r="K158" s="40"/>
    </row>
    <row r="159" spans="1:11" ht="15" customHeight="1">
      <c r="A159" s="41"/>
      <c r="C159" s="41"/>
      <c r="D159" s="41"/>
      <c r="E159" s="41"/>
      <c r="G159" s="41"/>
      <c r="H159" s="41"/>
      <c r="I159" s="40"/>
      <c r="J159" s="40"/>
      <c r="K159" s="40"/>
    </row>
    <row r="160" spans="1:11" ht="15" customHeight="1">
      <c r="A160" s="41"/>
      <c r="C160" s="41"/>
      <c r="D160" s="41"/>
      <c r="E160" s="41"/>
      <c r="G160" s="41"/>
      <c r="H160" s="41"/>
      <c r="I160" s="40"/>
      <c r="J160" s="40"/>
      <c r="K160" s="40"/>
    </row>
    <row r="161" spans="1:11" ht="15" customHeight="1">
      <c r="A161" s="41"/>
      <c r="C161" s="41"/>
      <c r="D161" s="41"/>
      <c r="E161" s="41"/>
      <c r="G161" s="41"/>
      <c r="H161" s="41"/>
      <c r="I161" s="40"/>
      <c r="J161" s="40"/>
      <c r="K161" s="40"/>
    </row>
    <row r="162" spans="1:11" ht="15" customHeight="1">
      <c r="A162" s="41"/>
      <c r="C162" s="41"/>
      <c r="D162" s="41"/>
      <c r="E162" s="41"/>
      <c r="G162" s="41"/>
      <c r="H162" s="41"/>
      <c r="I162" s="40"/>
      <c r="J162" s="40"/>
      <c r="K162" s="40"/>
    </row>
    <row r="163" spans="1:11" ht="15" customHeight="1">
      <c r="A163" s="41"/>
      <c r="C163" s="41"/>
      <c r="D163" s="41"/>
      <c r="E163" s="41"/>
      <c r="G163" s="41"/>
      <c r="H163" s="41"/>
      <c r="I163" s="40"/>
      <c r="J163" s="40"/>
      <c r="K163" s="40"/>
    </row>
    <row r="164" spans="1:11" ht="15" customHeight="1">
      <c r="A164" s="41"/>
      <c r="C164" s="41"/>
      <c r="D164" s="41"/>
      <c r="E164" s="41"/>
      <c r="G164" s="41"/>
      <c r="H164" s="41"/>
      <c r="I164" s="40"/>
      <c r="J164" s="40"/>
      <c r="K164" s="40"/>
    </row>
    <row r="165" spans="1:11" ht="15" customHeight="1">
      <c r="A165" s="41"/>
      <c r="C165" s="41"/>
      <c r="D165" s="41"/>
      <c r="E165" s="41"/>
      <c r="G165" s="41"/>
      <c r="H165" s="41"/>
      <c r="I165" s="40"/>
      <c r="J165" s="40"/>
      <c r="K165" s="40"/>
    </row>
    <row r="166" spans="1:11" ht="15" customHeight="1">
      <c r="A166" s="41"/>
      <c r="C166" s="41"/>
      <c r="D166" s="41"/>
      <c r="E166" s="41"/>
      <c r="G166" s="41"/>
      <c r="H166" s="41"/>
      <c r="I166" s="40"/>
      <c r="J166" s="40"/>
      <c r="K166" s="40"/>
    </row>
    <row r="167" spans="1:11" ht="15" customHeight="1">
      <c r="A167" s="41"/>
      <c r="C167" s="41"/>
      <c r="D167" s="41"/>
      <c r="E167" s="41"/>
      <c r="G167" s="41"/>
      <c r="H167" s="41"/>
      <c r="I167" s="40"/>
      <c r="J167" s="40"/>
      <c r="K167" s="40"/>
    </row>
    <row r="168" spans="1:11" ht="15" customHeight="1">
      <c r="A168" s="41"/>
      <c r="C168" s="41"/>
      <c r="D168" s="41"/>
      <c r="E168" s="41"/>
      <c r="G168" s="41"/>
      <c r="H168" s="41"/>
      <c r="I168" s="40"/>
      <c r="J168" s="40"/>
      <c r="K168" s="40"/>
    </row>
    <row r="169" spans="1:11" ht="15" customHeight="1">
      <c r="A169" s="41"/>
      <c r="C169" s="41"/>
      <c r="D169" s="41"/>
      <c r="E169" s="41"/>
      <c r="G169" s="41"/>
      <c r="H169" s="41"/>
      <c r="I169" s="40"/>
      <c r="J169" s="40"/>
      <c r="K169" s="40"/>
    </row>
    <row r="170" spans="1:11" ht="15" customHeight="1">
      <c r="A170" s="41"/>
      <c r="C170" s="41"/>
      <c r="D170" s="41"/>
      <c r="E170" s="41"/>
      <c r="G170" s="41"/>
      <c r="H170" s="41"/>
      <c r="I170" s="40"/>
      <c r="J170" s="40"/>
      <c r="K170" s="40"/>
    </row>
    <row r="171" spans="1:11" ht="15" customHeight="1">
      <c r="A171" s="41"/>
      <c r="C171" s="41"/>
      <c r="D171" s="41"/>
      <c r="E171" s="41"/>
      <c r="G171" s="41"/>
      <c r="H171" s="41"/>
      <c r="I171" s="40"/>
      <c r="J171" s="40"/>
      <c r="K171" s="40"/>
    </row>
    <row r="172" spans="1:11" ht="15" customHeight="1">
      <c r="A172" s="41"/>
      <c r="C172" s="41"/>
      <c r="D172" s="41"/>
      <c r="E172" s="41"/>
      <c r="G172" s="41"/>
      <c r="H172" s="41"/>
      <c r="I172" s="40"/>
      <c r="J172" s="40"/>
      <c r="K172" s="40"/>
    </row>
    <row r="173" spans="1:11" ht="15" customHeight="1">
      <c r="A173" s="41"/>
      <c r="C173" s="41"/>
      <c r="D173" s="41"/>
      <c r="E173" s="41"/>
      <c r="G173" s="41"/>
      <c r="H173" s="41"/>
      <c r="I173" s="40"/>
      <c r="J173" s="40"/>
      <c r="K173" s="40"/>
    </row>
    <row r="174" spans="1:11" ht="15" customHeight="1">
      <c r="A174" s="41"/>
      <c r="C174" s="41"/>
      <c r="D174" s="41"/>
      <c r="E174" s="41"/>
      <c r="G174" s="41"/>
      <c r="H174" s="41"/>
      <c r="I174" s="40"/>
      <c r="J174" s="40"/>
      <c r="K174" s="40"/>
    </row>
    <row r="175" spans="1:11" ht="15" customHeight="1">
      <c r="A175" s="41"/>
      <c r="C175" s="41"/>
      <c r="D175" s="41"/>
      <c r="E175" s="41"/>
      <c r="G175" s="41"/>
      <c r="H175" s="41"/>
      <c r="I175" s="40"/>
      <c r="J175" s="40"/>
      <c r="K175" s="40"/>
    </row>
    <row r="176" spans="1:11" ht="15" customHeight="1">
      <c r="A176" s="41"/>
      <c r="C176" s="41"/>
      <c r="D176" s="41"/>
      <c r="E176" s="41"/>
      <c r="G176" s="41"/>
      <c r="H176" s="41"/>
      <c r="I176" s="40"/>
      <c r="J176" s="40"/>
      <c r="K176" s="40"/>
    </row>
    <row r="177" spans="1:11" ht="15" customHeight="1">
      <c r="A177" s="41"/>
      <c r="C177" s="41"/>
      <c r="D177" s="41"/>
      <c r="E177" s="41"/>
      <c r="G177" s="41"/>
      <c r="H177" s="41"/>
      <c r="I177" s="40"/>
      <c r="J177" s="40"/>
      <c r="K177" s="40"/>
    </row>
    <row r="178" spans="1:11" ht="15" customHeight="1">
      <c r="A178" s="41"/>
      <c r="C178" s="41"/>
      <c r="D178" s="41"/>
      <c r="E178" s="41"/>
      <c r="G178" s="41"/>
      <c r="H178" s="41"/>
      <c r="I178" s="40"/>
      <c r="J178" s="40"/>
      <c r="K178" s="40"/>
    </row>
    <row r="179" spans="1:11" ht="15" customHeight="1">
      <c r="A179" s="41"/>
      <c r="C179" s="41"/>
      <c r="D179" s="41"/>
      <c r="E179" s="41"/>
      <c r="G179" s="41"/>
      <c r="H179" s="41"/>
      <c r="I179" s="40"/>
      <c r="J179" s="40"/>
      <c r="K179" s="40"/>
    </row>
    <row r="180" spans="1:11" ht="15" customHeight="1">
      <c r="A180" s="41"/>
      <c r="C180" s="41"/>
      <c r="D180" s="41"/>
      <c r="E180" s="41"/>
      <c r="G180" s="41"/>
      <c r="H180" s="41"/>
      <c r="I180" s="40"/>
      <c r="J180" s="40"/>
      <c r="K180" s="40"/>
    </row>
    <row r="181" spans="1:11" ht="15" customHeight="1">
      <c r="A181" s="41"/>
      <c r="C181" s="41"/>
      <c r="D181" s="41"/>
      <c r="E181" s="41"/>
      <c r="G181" s="41"/>
      <c r="H181" s="41"/>
      <c r="I181" s="40"/>
      <c r="J181" s="40"/>
      <c r="K181" s="40"/>
    </row>
    <row r="182" spans="1:11" ht="15" customHeight="1">
      <c r="A182" s="41"/>
      <c r="C182" s="41"/>
      <c r="D182" s="41"/>
      <c r="E182" s="41"/>
      <c r="G182" s="41"/>
      <c r="H182" s="41"/>
      <c r="I182" s="40"/>
      <c r="J182" s="40"/>
      <c r="K182" s="40"/>
    </row>
    <row r="183" spans="1:11" ht="15" customHeight="1">
      <c r="A183" s="41"/>
      <c r="C183" s="41"/>
      <c r="D183" s="41"/>
      <c r="E183" s="41"/>
      <c r="G183" s="41"/>
      <c r="H183" s="41"/>
      <c r="I183" s="40"/>
      <c r="J183" s="40"/>
      <c r="K183" s="40"/>
    </row>
    <row r="184" spans="1:11" ht="15" customHeight="1">
      <c r="A184" s="41"/>
      <c r="C184" s="41"/>
      <c r="D184" s="41"/>
      <c r="E184" s="41"/>
      <c r="G184" s="41"/>
      <c r="H184" s="41"/>
      <c r="I184" s="40"/>
      <c r="J184" s="40"/>
      <c r="K184" s="40"/>
    </row>
    <row r="185" spans="1:11" ht="15" customHeight="1">
      <c r="A185" s="41"/>
      <c r="C185" s="41"/>
      <c r="D185" s="41"/>
      <c r="E185" s="41"/>
      <c r="G185" s="41"/>
      <c r="H185" s="41"/>
      <c r="I185" s="40"/>
      <c r="J185" s="40"/>
      <c r="K185" s="40"/>
    </row>
    <row r="186" spans="1:11" ht="15" customHeight="1">
      <c r="A186" s="41"/>
      <c r="C186" s="41"/>
      <c r="D186" s="41"/>
      <c r="E186" s="41"/>
      <c r="G186" s="41"/>
      <c r="H186" s="41"/>
      <c r="I186" s="40"/>
      <c r="J186" s="40"/>
      <c r="K186" s="40"/>
    </row>
    <row r="187" spans="1:11" ht="15" customHeight="1">
      <c r="A187" s="41"/>
      <c r="C187" s="41"/>
      <c r="D187" s="41"/>
      <c r="E187" s="41"/>
      <c r="G187" s="41"/>
      <c r="H187" s="41"/>
      <c r="I187" s="40"/>
      <c r="J187" s="40"/>
      <c r="K187" s="40"/>
    </row>
    <row r="188" spans="1:11" ht="15" customHeight="1">
      <c r="A188" s="41"/>
      <c r="C188" s="41"/>
      <c r="D188" s="41"/>
      <c r="E188" s="41"/>
      <c r="G188" s="41"/>
      <c r="H188" s="41"/>
      <c r="I188" s="40"/>
      <c r="J188" s="40"/>
      <c r="K188" s="40"/>
    </row>
    <row r="189" spans="1:11" ht="15" customHeight="1">
      <c r="A189" s="41"/>
      <c r="C189" s="41"/>
      <c r="D189" s="41"/>
      <c r="E189" s="41"/>
      <c r="G189" s="41"/>
      <c r="H189" s="41"/>
      <c r="I189" s="40"/>
      <c r="J189" s="40"/>
      <c r="K189" s="40"/>
    </row>
    <row r="190" spans="1:11" ht="15" customHeight="1">
      <c r="A190" s="41"/>
      <c r="C190" s="41"/>
      <c r="D190" s="41"/>
      <c r="E190" s="41"/>
      <c r="G190" s="41"/>
      <c r="H190" s="41"/>
      <c r="I190" s="40"/>
      <c r="J190" s="40"/>
      <c r="K190" s="40"/>
    </row>
    <row r="191" spans="1:11" ht="15" customHeight="1">
      <c r="A191" s="41"/>
      <c r="C191" s="41"/>
      <c r="D191" s="41"/>
      <c r="E191" s="41"/>
      <c r="G191" s="41"/>
      <c r="H191" s="41"/>
      <c r="I191" s="40"/>
      <c r="J191" s="40"/>
      <c r="K191" s="40"/>
    </row>
    <row r="192" spans="1:11" ht="15" customHeight="1">
      <c r="A192" s="41"/>
      <c r="C192" s="41"/>
      <c r="D192" s="41"/>
      <c r="E192" s="41"/>
      <c r="G192" s="41"/>
      <c r="H192" s="41"/>
      <c r="I192" s="40"/>
      <c r="J192" s="40"/>
      <c r="K192" s="40"/>
    </row>
    <row r="193" spans="1:11" ht="15" customHeight="1">
      <c r="A193" s="41"/>
      <c r="C193" s="41"/>
      <c r="D193" s="41"/>
      <c r="E193" s="41"/>
      <c r="G193" s="41"/>
      <c r="H193" s="41"/>
      <c r="I193" s="40"/>
      <c r="J193" s="40"/>
      <c r="K193" s="40"/>
    </row>
    <row r="194" spans="1:11" ht="15" customHeight="1">
      <c r="A194" s="41"/>
      <c r="C194" s="41"/>
      <c r="D194" s="41"/>
      <c r="E194" s="41"/>
      <c r="G194" s="41"/>
      <c r="H194" s="41"/>
      <c r="I194" s="40"/>
      <c r="J194" s="40"/>
      <c r="K194" s="40"/>
    </row>
    <row r="195" spans="1:11" ht="15" customHeight="1">
      <c r="A195" s="41"/>
      <c r="C195" s="41"/>
      <c r="D195" s="41"/>
      <c r="E195" s="41"/>
      <c r="G195" s="41"/>
      <c r="H195" s="41"/>
      <c r="I195" s="40"/>
      <c r="J195" s="40"/>
      <c r="K195" s="40"/>
    </row>
    <row r="196" spans="1:11" ht="15" customHeight="1">
      <c r="A196" s="41"/>
      <c r="C196" s="41"/>
      <c r="D196" s="41"/>
      <c r="E196" s="41"/>
      <c r="G196" s="41"/>
      <c r="H196" s="41"/>
      <c r="I196" s="40"/>
      <c r="J196" s="40"/>
      <c r="K196" s="40"/>
    </row>
    <row r="197" spans="1:11" ht="15" customHeight="1">
      <c r="A197" s="41"/>
      <c r="C197" s="41"/>
      <c r="D197" s="41"/>
      <c r="E197" s="41"/>
      <c r="G197" s="41"/>
      <c r="H197" s="41"/>
      <c r="I197" s="40"/>
      <c r="J197" s="40"/>
      <c r="K197" s="40"/>
    </row>
    <row r="198" spans="1:11" ht="15" customHeight="1">
      <c r="A198" s="41"/>
      <c r="C198" s="41"/>
      <c r="D198" s="41"/>
      <c r="E198" s="41"/>
      <c r="G198" s="41"/>
      <c r="H198" s="41"/>
      <c r="I198" s="40"/>
      <c r="J198" s="40"/>
      <c r="K198" s="40"/>
    </row>
    <row r="199" spans="1:11" ht="15" customHeight="1">
      <c r="A199" s="41"/>
      <c r="C199" s="41"/>
      <c r="D199" s="41"/>
      <c r="E199" s="41"/>
      <c r="G199" s="41"/>
      <c r="H199" s="41"/>
      <c r="I199" s="40"/>
      <c r="J199" s="40"/>
      <c r="K199" s="40"/>
    </row>
    <row r="200" spans="1:11" ht="15" customHeight="1">
      <c r="A200" s="41"/>
      <c r="C200" s="41"/>
      <c r="D200" s="41"/>
      <c r="E200" s="41"/>
      <c r="G200" s="41"/>
      <c r="H200" s="41"/>
      <c r="I200" s="40"/>
      <c r="J200" s="40"/>
      <c r="K200" s="40"/>
    </row>
    <row r="201" spans="1:11" ht="15" customHeight="1">
      <c r="A201" s="41"/>
      <c r="C201" s="41"/>
      <c r="D201" s="41"/>
      <c r="E201" s="41"/>
      <c r="G201" s="41"/>
      <c r="H201" s="41"/>
      <c r="I201" s="40"/>
      <c r="J201" s="40"/>
      <c r="K201" s="40"/>
    </row>
    <row r="202" spans="1:11" ht="15" customHeight="1">
      <c r="A202" s="41"/>
      <c r="C202" s="41"/>
      <c r="D202" s="41"/>
      <c r="E202" s="41"/>
      <c r="G202" s="41"/>
      <c r="H202" s="41"/>
      <c r="I202" s="40"/>
      <c r="J202" s="40"/>
      <c r="K202" s="40"/>
    </row>
    <row r="203" spans="1:11" ht="15" customHeight="1">
      <c r="A203" s="41"/>
      <c r="C203" s="41"/>
      <c r="D203" s="41"/>
      <c r="E203" s="41"/>
      <c r="G203" s="41"/>
      <c r="H203" s="41"/>
      <c r="I203" s="40"/>
      <c r="J203" s="40"/>
      <c r="K203" s="40"/>
    </row>
    <row r="204" spans="1:11" ht="15" customHeight="1">
      <c r="A204" s="41"/>
      <c r="C204" s="41"/>
      <c r="D204" s="41"/>
      <c r="E204" s="41"/>
      <c r="G204" s="41"/>
      <c r="H204" s="41"/>
      <c r="I204" s="40"/>
      <c r="J204" s="40"/>
      <c r="K204" s="40"/>
    </row>
    <row r="205" spans="1:11" ht="15" customHeight="1">
      <c r="A205" s="41"/>
      <c r="C205" s="41"/>
      <c r="D205" s="41"/>
      <c r="E205" s="41"/>
      <c r="G205" s="41"/>
      <c r="H205" s="41"/>
      <c r="I205" s="40"/>
      <c r="J205" s="40"/>
      <c r="K205" s="40"/>
    </row>
    <row r="206" spans="1:11" ht="15" customHeight="1">
      <c r="A206" s="41"/>
      <c r="C206" s="41"/>
      <c r="D206" s="41"/>
      <c r="E206" s="41"/>
      <c r="G206" s="41"/>
      <c r="H206" s="41"/>
      <c r="I206" s="40"/>
      <c r="J206" s="40"/>
      <c r="K206" s="40"/>
    </row>
    <row r="207" spans="1:11" ht="15" customHeight="1">
      <c r="A207" s="41"/>
      <c r="C207" s="41"/>
      <c r="D207" s="41"/>
      <c r="E207" s="41"/>
      <c r="G207" s="41"/>
      <c r="H207" s="41"/>
      <c r="I207" s="40"/>
      <c r="J207" s="40"/>
      <c r="K207" s="40"/>
    </row>
    <row r="208" spans="1:11" ht="15" customHeight="1">
      <c r="A208" s="41"/>
      <c r="C208" s="41"/>
      <c r="D208" s="41"/>
      <c r="E208" s="41"/>
      <c r="G208" s="41"/>
      <c r="H208" s="41"/>
      <c r="I208" s="40"/>
      <c r="J208" s="40"/>
      <c r="K208" s="40"/>
    </row>
    <row r="209" spans="1:11" ht="15" customHeight="1">
      <c r="A209" s="41"/>
      <c r="C209" s="41"/>
      <c r="D209" s="41"/>
      <c r="E209" s="41"/>
      <c r="G209" s="41"/>
      <c r="H209" s="41"/>
      <c r="I209" s="40"/>
      <c r="J209" s="40"/>
      <c r="K209" s="40"/>
    </row>
    <row r="210" spans="1:11" ht="15" customHeight="1">
      <c r="A210" s="41"/>
      <c r="C210" s="41"/>
      <c r="D210" s="41"/>
      <c r="E210" s="41"/>
      <c r="G210" s="41"/>
      <c r="H210" s="41"/>
      <c r="I210" s="40"/>
      <c r="J210" s="40"/>
      <c r="K210" s="40"/>
    </row>
    <row r="211" spans="1:11" ht="15" customHeight="1">
      <c r="A211" s="41"/>
      <c r="C211" s="41"/>
      <c r="D211" s="41"/>
      <c r="E211" s="41"/>
      <c r="G211" s="41"/>
      <c r="H211" s="41"/>
      <c r="I211" s="40"/>
      <c r="J211" s="40"/>
      <c r="K211" s="40"/>
    </row>
    <row r="212" spans="1:11" ht="15" customHeight="1">
      <c r="A212" s="41"/>
      <c r="C212" s="41"/>
      <c r="D212" s="41"/>
      <c r="E212" s="41"/>
      <c r="G212" s="41"/>
      <c r="H212" s="41"/>
      <c r="I212" s="40"/>
      <c r="J212" s="40"/>
      <c r="K212" s="40"/>
    </row>
    <row r="213" spans="1:11" ht="15" customHeight="1">
      <c r="A213" s="41"/>
      <c r="C213" s="41"/>
      <c r="D213" s="41"/>
      <c r="E213" s="41"/>
      <c r="G213" s="41"/>
      <c r="H213" s="41"/>
      <c r="I213" s="40"/>
      <c r="J213" s="40"/>
      <c r="K213" s="40"/>
    </row>
    <row r="214" spans="1:11" ht="15" customHeight="1">
      <c r="A214" s="41"/>
      <c r="C214" s="41"/>
      <c r="D214" s="41"/>
      <c r="E214" s="41"/>
      <c r="G214" s="41"/>
      <c r="H214" s="41"/>
      <c r="I214" s="40"/>
      <c r="J214" s="40"/>
      <c r="K214" s="40"/>
    </row>
    <row r="215" spans="1:11" ht="15" customHeight="1">
      <c r="A215" s="41"/>
      <c r="C215" s="41"/>
      <c r="D215" s="41"/>
      <c r="E215" s="41"/>
      <c r="G215" s="41"/>
      <c r="H215" s="41"/>
      <c r="I215" s="40"/>
      <c r="J215" s="40"/>
      <c r="K215" s="40"/>
    </row>
    <row r="216" spans="1:11" ht="15" customHeight="1">
      <c r="A216" s="41"/>
      <c r="C216" s="41"/>
      <c r="D216" s="41"/>
      <c r="E216" s="41"/>
      <c r="G216" s="41"/>
      <c r="H216" s="41"/>
      <c r="I216" s="40"/>
      <c r="J216" s="40"/>
      <c r="K216" s="40"/>
    </row>
    <row r="217" spans="1:11" ht="15" customHeight="1">
      <c r="A217" s="41"/>
      <c r="C217" s="41"/>
      <c r="D217" s="41"/>
      <c r="E217" s="41"/>
      <c r="G217" s="41"/>
      <c r="H217" s="41"/>
      <c r="I217" s="40"/>
      <c r="J217" s="40"/>
      <c r="K217" s="40"/>
    </row>
    <row r="218" spans="1:11" ht="15" customHeight="1">
      <c r="A218" s="41"/>
      <c r="C218" s="41"/>
      <c r="D218" s="41"/>
      <c r="E218" s="41"/>
      <c r="G218" s="41"/>
      <c r="H218" s="41"/>
      <c r="I218" s="40"/>
      <c r="J218" s="40"/>
      <c r="K218" s="40"/>
    </row>
    <row r="219" spans="1:11" ht="15" customHeight="1">
      <c r="A219" s="41"/>
      <c r="C219" s="41"/>
      <c r="D219" s="41"/>
      <c r="E219" s="41"/>
      <c r="G219" s="41"/>
      <c r="H219" s="41"/>
      <c r="I219" s="40"/>
      <c r="J219" s="40"/>
      <c r="K219" s="40"/>
    </row>
    <row r="220" spans="1:11" ht="15" customHeight="1">
      <c r="A220" s="41"/>
      <c r="C220" s="41"/>
      <c r="D220" s="41"/>
      <c r="E220" s="41"/>
      <c r="G220" s="41"/>
      <c r="H220" s="41"/>
      <c r="I220" s="40"/>
      <c r="J220" s="40"/>
      <c r="K220" s="40"/>
    </row>
    <row r="221" spans="1:11" ht="15" customHeight="1">
      <c r="A221" s="41"/>
      <c r="C221" s="41"/>
      <c r="D221" s="41"/>
      <c r="E221" s="41"/>
      <c r="G221" s="41"/>
      <c r="H221" s="41"/>
      <c r="I221" s="40"/>
      <c r="J221" s="40"/>
      <c r="K221" s="40"/>
    </row>
    <row r="222" spans="1:11" ht="15" customHeight="1">
      <c r="A222" s="41"/>
      <c r="C222" s="41"/>
      <c r="D222" s="41"/>
      <c r="E222" s="41"/>
      <c r="G222" s="41"/>
      <c r="H222" s="41"/>
      <c r="I222" s="40"/>
      <c r="J222" s="40"/>
      <c r="K222" s="40"/>
    </row>
    <row r="223" spans="1:11" ht="15" customHeight="1">
      <c r="A223" s="41"/>
      <c r="F223" s="40"/>
      <c r="I223" s="40"/>
      <c r="J223" s="40"/>
      <c r="K223" s="40"/>
    </row>
    <row r="224" spans="1:11" ht="15" customHeight="1">
      <c r="A224" s="41"/>
      <c r="F224" s="40"/>
      <c r="I224" s="40"/>
      <c r="J224" s="40"/>
      <c r="K224" s="40"/>
    </row>
    <row r="225" spans="1:11" ht="15" customHeight="1">
      <c r="A225" s="41"/>
      <c r="F225" s="40"/>
      <c r="I225" s="40"/>
      <c r="J225" s="40"/>
      <c r="K225" s="40"/>
    </row>
    <row r="226" spans="1:11" ht="15" customHeight="1">
      <c r="A226" s="41"/>
      <c r="F226" s="40"/>
      <c r="I226" s="40"/>
      <c r="J226" s="40"/>
      <c r="K226" s="40"/>
    </row>
    <row r="227" spans="1:11" ht="15" customHeight="1">
      <c r="A227" s="41"/>
      <c r="F227" s="40"/>
      <c r="I227" s="40"/>
      <c r="J227" s="40"/>
      <c r="K227" s="40"/>
    </row>
    <row r="228" spans="1:11" ht="15" customHeight="1">
      <c r="A228" s="41"/>
      <c r="F228" s="40"/>
      <c r="I228" s="40"/>
      <c r="J228" s="40"/>
      <c r="K228" s="40"/>
    </row>
    <row r="229" spans="1:11" ht="15" customHeight="1">
      <c r="A229" s="41"/>
      <c r="F229" s="40"/>
      <c r="I229" s="40"/>
      <c r="J229" s="40"/>
      <c r="K229" s="40"/>
    </row>
    <row r="230" spans="1:11" ht="15" customHeight="1">
      <c r="A230" s="41"/>
      <c r="F230" s="40"/>
      <c r="I230" s="40"/>
      <c r="J230" s="40"/>
      <c r="K230" s="40"/>
    </row>
    <row r="231" spans="1:11" ht="15" customHeight="1">
      <c r="A231" s="41"/>
      <c r="F231" s="40"/>
      <c r="I231" s="40"/>
      <c r="J231" s="40"/>
      <c r="K231" s="40"/>
    </row>
  </sheetData>
  <mergeCells count="46">
    <mergeCell ref="B136:K136"/>
    <mergeCell ref="B138:K138"/>
    <mergeCell ref="B143:C143"/>
    <mergeCell ref="B122:K122"/>
    <mergeCell ref="B124:K124"/>
    <mergeCell ref="B128:C128"/>
    <mergeCell ref="B130:K130"/>
    <mergeCell ref="B134:C134"/>
    <mergeCell ref="B106:C106"/>
    <mergeCell ref="B108:K108"/>
    <mergeCell ref="B110:K110"/>
    <mergeCell ref="B118:C118"/>
    <mergeCell ref="A120:K120"/>
    <mergeCell ref="B63:K63"/>
    <mergeCell ref="B61:C61"/>
    <mergeCell ref="A86:K86"/>
    <mergeCell ref="B90:K90"/>
    <mergeCell ref="B88:K88"/>
    <mergeCell ref="B97:C97"/>
    <mergeCell ref="B99:K99"/>
    <mergeCell ref="B75:K75"/>
    <mergeCell ref="B73:K73"/>
    <mergeCell ref="B71:C71"/>
    <mergeCell ref="A1:K1"/>
    <mergeCell ref="B2:C2"/>
    <mergeCell ref="A5:H5"/>
    <mergeCell ref="A3:H3"/>
    <mergeCell ref="E2:G2"/>
    <mergeCell ref="B4:C4"/>
    <mergeCell ref="E4:F4"/>
    <mergeCell ref="B47:C47"/>
    <mergeCell ref="B84:C84"/>
    <mergeCell ref="B6:K6"/>
    <mergeCell ref="B8:K8"/>
    <mergeCell ref="B39:K39"/>
    <mergeCell ref="B37:K37"/>
    <mergeCell ref="B28:K28"/>
    <mergeCell ref="B10:K10"/>
    <mergeCell ref="B17:K17"/>
    <mergeCell ref="A15:K15"/>
    <mergeCell ref="B19:K19"/>
    <mergeCell ref="B26:C26"/>
    <mergeCell ref="B35:C35"/>
    <mergeCell ref="B53:K53"/>
    <mergeCell ref="A49:K49"/>
    <mergeCell ref="B51:K51"/>
  </mergeCells>
  <phoneticPr fontId="4" type="noConversion"/>
  <printOptions horizontalCentered="1"/>
  <pageMargins left="0.19685039370078741" right="0" top="0.39370078740157483" bottom="0" header="0" footer="0"/>
  <pageSetup paperSize="9" scale="4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8"/>
  <sheetViews>
    <sheetView showGridLines="0" showZeros="0" view="pageBreakPreview" zoomScale="75" zoomScaleNormal="75" zoomScaleSheetLayoutView="75" workbookViewId="0">
      <selection activeCell="C4" sqref="C4:D4"/>
    </sheetView>
  </sheetViews>
  <sheetFormatPr defaultColWidth="9.109375" defaultRowHeight="13.2"/>
  <cols>
    <col min="1" max="1" width="9.33203125" style="43" customWidth="1"/>
    <col min="2" max="2" width="45" style="43" customWidth="1"/>
    <col min="3" max="3" width="34.44140625" style="51" customWidth="1"/>
    <col min="4" max="4" width="20.6640625" style="51" customWidth="1"/>
    <col min="5" max="8" width="12.77734375" style="43" customWidth="1"/>
    <col min="9" max="9" width="25.109375" style="43" customWidth="1"/>
    <col min="10" max="16384" width="9.109375" style="43"/>
  </cols>
  <sheetData>
    <row r="1" spans="1:8" ht="15.6">
      <c r="A1" s="454"/>
      <c r="B1" s="455"/>
      <c r="C1" s="455"/>
      <c r="D1" s="455"/>
      <c r="E1" s="456"/>
      <c r="F1" s="225" t="s">
        <v>116</v>
      </c>
      <c r="G1" s="226"/>
      <c r="H1" s="227"/>
    </row>
    <row r="2" spans="1:8" ht="18" customHeight="1">
      <c r="A2" s="463" t="s">
        <v>22</v>
      </c>
      <c r="B2" s="464"/>
      <c r="C2" s="464"/>
      <c r="D2" s="464"/>
      <c r="E2" s="464"/>
      <c r="F2" s="464"/>
      <c r="G2" s="464"/>
      <c r="H2" s="465"/>
    </row>
    <row r="3" spans="1:8" ht="18" customHeight="1">
      <c r="A3" s="460" t="str">
        <f>'Planilha Orcamentária'!A2</f>
        <v>PREFEITURA: Prefeitura Municipal de Bocaina de Minas</v>
      </c>
      <c r="B3" s="460"/>
      <c r="C3" s="88" t="s">
        <v>117</v>
      </c>
      <c r="D3" s="89">
        <f>'Planilha Orcamentária'!I44</f>
        <v>300006.68</v>
      </c>
      <c r="E3" s="124" t="s">
        <v>34</v>
      </c>
      <c r="F3" s="461">
        <f ca="1">TODAY()</f>
        <v>46202</v>
      </c>
      <c r="G3" s="461"/>
      <c r="H3" s="462"/>
    </row>
    <row r="4" spans="1:8" ht="60.6" customHeight="1">
      <c r="A4" s="445" t="str">
        <f>'Planilha Orcamentária'!A3</f>
        <v>OBRA: PAVIMENTAÇÃO DE ESTRADAS VICINAIS</v>
      </c>
      <c r="B4" s="445"/>
      <c r="C4" s="446" t="str">
        <f>'Planilha Orcamentária'!A4</f>
        <v>LOCAL: Morro do Matão - Trecho 01, 02 e 03 e Morro do Rio Grande , Zona rural - Bocaina de Minas/MG</v>
      </c>
      <c r="D4" s="447"/>
      <c r="E4" s="457" t="s">
        <v>174</v>
      </c>
      <c r="F4" s="458"/>
      <c r="G4" s="458"/>
      <c r="H4" s="459"/>
    </row>
    <row r="5" spans="1:8" ht="36" customHeight="1">
      <c r="A5" s="44" t="s">
        <v>0</v>
      </c>
      <c r="B5" s="44" t="s">
        <v>23</v>
      </c>
      <c r="C5" s="87" t="s">
        <v>24</v>
      </c>
      <c r="D5" s="87" t="s">
        <v>25</v>
      </c>
      <c r="E5" s="44" t="s">
        <v>26</v>
      </c>
      <c r="F5" s="44" t="s">
        <v>27</v>
      </c>
      <c r="G5" s="44" t="s">
        <v>53</v>
      </c>
      <c r="H5" s="44" t="s">
        <v>173</v>
      </c>
    </row>
    <row r="6" spans="1:8" s="48" customFormat="1" ht="14.25" customHeight="1">
      <c r="A6" s="437" t="s">
        <v>40</v>
      </c>
      <c r="B6" s="438" t="str">
        <f>'Planilha Orcamentária'!D9</f>
        <v>SERVIÇOS PRELIMINARES</v>
      </c>
      <c r="C6" s="45" t="s">
        <v>28</v>
      </c>
      <c r="D6" s="46">
        <f>D7/$D$29</f>
        <v>8.0131215744929409E-3</v>
      </c>
      <c r="E6" s="47">
        <v>1</v>
      </c>
      <c r="F6" s="47"/>
      <c r="G6" s="47"/>
      <c r="H6" s="47"/>
    </row>
    <row r="7" spans="1:8" s="48" customFormat="1" ht="14.25" customHeight="1">
      <c r="A7" s="437"/>
      <c r="B7" s="438"/>
      <c r="C7" s="49" t="s">
        <v>29</v>
      </c>
      <c r="D7" s="52">
        <f>'Planilha Orcamentária'!I9</f>
        <v>2403.9899999999998</v>
      </c>
      <c r="E7" s="52">
        <f t="shared" ref="E7" si="0">E6*$D$7</f>
        <v>2403.9899999999998</v>
      </c>
      <c r="F7" s="52"/>
      <c r="G7" s="52"/>
      <c r="H7" s="52"/>
    </row>
    <row r="8" spans="1:8" s="48" customFormat="1" ht="21.6" customHeight="1">
      <c r="A8" s="448" t="str">
        <f>'Planilha Orcamentária'!D12</f>
        <v xml:space="preserve">MORRO DO MATÃO - TRECHO 01 </v>
      </c>
      <c r="B8" s="449"/>
      <c r="C8" s="449"/>
      <c r="D8" s="449"/>
      <c r="E8" s="449"/>
      <c r="F8" s="449"/>
      <c r="G8" s="449"/>
      <c r="H8" s="450"/>
    </row>
    <row r="9" spans="1:8" s="48" customFormat="1" ht="14.25" customHeight="1">
      <c r="A9" s="437" t="s">
        <v>41</v>
      </c>
      <c r="B9" s="438" t="str">
        <f>'Planilha Orcamentária'!D13</f>
        <v>SERVIÇOS DE CALÇAMENTO EM BLOQUETE</v>
      </c>
      <c r="C9" s="45" t="s">
        <v>28</v>
      </c>
      <c r="D9" s="46">
        <f>D10/$D$29</f>
        <v>0.21570239702662619</v>
      </c>
      <c r="E9" s="47">
        <v>0.85</v>
      </c>
      <c r="F9" s="47">
        <v>0.15</v>
      </c>
      <c r="G9" s="47"/>
      <c r="H9" s="47"/>
    </row>
    <row r="10" spans="1:8" s="48" customFormat="1" ht="14.25" customHeight="1">
      <c r="A10" s="437"/>
      <c r="B10" s="438"/>
      <c r="C10" s="49" t="s">
        <v>29</v>
      </c>
      <c r="D10" s="52">
        <f>'Planilha Orcamentária'!I13</f>
        <v>64712.159999999996</v>
      </c>
      <c r="E10" s="52">
        <f>E9*$D$10</f>
        <v>55005.335999999996</v>
      </c>
      <c r="F10" s="52">
        <f>F9*$D$10</f>
        <v>9706.8239999999987</v>
      </c>
      <c r="G10" s="52"/>
      <c r="H10" s="52"/>
    </row>
    <row r="11" spans="1:8" s="48" customFormat="1" ht="14.25" customHeight="1">
      <c r="A11" s="437" t="s">
        <v>42</v>
      </c>
      <c r="B11" s="438" t="str">
        <f>'Planilha Orcamentária'!D17</f>
        <v>OBRAS COMPLEMENTARES</v>
      </c>
      <c r="C11" s="45" t="s">
        <v>28</v>
      </c>
      <c r="D11" s="46">
        <f>D12/$D$29</f>
        <v>7.0099772445066891E-2</v>
      </c>
      <c r="E11" s="47">
        <v>0.85</v>
      </c>
      <c r="F11" s="47">
        <v>0.15</v>
      </c>
      <c r="G11" s="47"/>
      <c r="H11" s="47"/>
    </row>
    <row r="12" spans="1:8" s="48" customFormat="1" ht="14.25" customHeight="1">
      <c r="A12" s="437"/>
      <c r="B12" s="438"/>
      <c r="C12" s="49" t="s">
        <v>29</v>
      </c>
      <c r="D12" s="52">
        <f>'Planilha Orcamentária'!I17</f>
        <v>21030.400000000001</v>
      </c>
      <c r="E12" s="52">
        <f>E11*$D$12</f>
        <v>17875.84</v>
      </c>
      <c r="F12" s="52">
        <f>F11*$D$12</f>
        <v>3154.56</v>
      </c>
      <c r="G12" s="52"/>
      <c r="H12" s="52"/>
    </row>
    <row r="13" spans="1:8" s="48" customFormat="1" ht="21.6" customHeight="1">
      <c r="A13" s="448" t="str">
        <f>'Planilha Orcamentária'!D20</f>
        <v>MORRO DO MATÃO - TRECHO 02</v>
      </c>
      <c r="B13" s="449"/>
      <c r="C13" s="449"/>
      <c r="D13" s="449"/>
      <c r="E13" s="449"/>
      <c r="F13" s="449"/>
      <c r="G13" s="449"/>
      <c r="H13" s="450"/>
    </row>
    <row r="14" spans="1:8" s="48" customFormat="1" ht="14.25" customHeight="1">
      <c r="A14" s="437" t="s">
        <v>167</v>
      </c>
      <c r="B14" s="438" t="str">
        <f>'Planilha Orcamentária'!D21</f>
        <v>SERVIÇOS DE CALÇAMENTO EM BLOQUETE</v>
      </c>
      <c r="C14" s="45" t="s">
        <v>28</v>
      </c>
      <c r="D14" s="46">
        <f>D15/$D$29</f>
        <v>0.21570239702662619</v>
      </c>
      <c r="E14" s="47"/>
      <c r="F14" s="47">
        <v>0.75</v>
      </c>
      <c r="G14" s="47">
        <v>0.25</v>
      </c>
      <c r="H14" s="47"/>
    </row>
    <row r="15" spans="1:8" s="48" customFormat="1" ht="14.25" customHeight="1">
      <c r="A15" s="437"/>
      <c r="B15" s="438"/>
      <c r="C15" s="49" t="s">
        <v>29</v>
      </c>
      <c r="D15" s="52">
        <f>'Planilha Orcamentária'!I21</f>
        <v>64712.159999999996</v>
      </c>
      <c r="E15" s="52"/>
      <c r="F15" s="52">
        <f>F14*$D$15</f>
        <v>48534.119999999995</v>
      </c>
      <c r="G15" s="52">
        <f>G14*$D$15</f>
        <v>16178.039999999999</v>
      </c>
      <c r="H15" s="52"/>
    </row>
    <row r="16" spans="1:8" s="48" customFormat="1" ht="14.25" customHeight="1">
      <c r="A16" s="437" t="s">
        <v>170</v>
      </c>
      <c r="B16" s="438" t="str">
        <f>'Planilha Orcamentária'!D25</f>
        <v>OBRAS COMPLEMENTARES</v>
      </c>
      <c r="C16" s="45" t="s">
        <v>28</v>
      </c>
      <c r="D16" s="46">
        <f>D17/$D$29</f>
        <v>7.0099772445066891E-2</v>
      </c>
      <c r="E16" s="47"/>
      <c r="F16" s="47">
        <v>0.75</v>
      </c>
      <c r="G16" s="47">
        <v>0.25</v>
      </c>
      <c r="H16" s="47"/>
    </row>
    <row r="17" spans="1:9" s="48" customFormat="1" ht="14.25" customHeight="1">
      <c r="A17" s="437"/>
      <c r="B17" s="438"/>
      <c r="C17" s="49" t="s">
        <v>29</v>
      </c>
      <c r="D17" s="52">
        <f>'Planilha Orcamentária'!I25</f>
        <v>21030.400000000001</v>
      </c>
      <c r="E17" s="52"/>
      <c r="F17" s="52">
        <f>F16*$D$17</f>
        <v>15772.800000000001</v>
      </c>
      <c r="G17" s="52">
        <f>G16*$D$17</f>
        <v>5257.6</v>
      </c>
      <c r="H17" s="52"/>
    </row>
    <row r="18" spans="1:9" s="48" customFormat="1" ht="21.6" customHeight="1">
      <c r="A18" s="448" t="str">
        <f>'Planilha Orcamentária'!D28</f>
        <v>MORRO DO MATÃO - TRECHO 03</v>
      </c>
      <c r="B18" s="449"/>
      <c r="C18" s="449"/>
      <c r="D18" s="449"/>
      <c r="E18" s="449"/>
      <c r="F18" s="449"/>
      <c r="G18" s="449"/>
      <c r="H18" s="450"/>
    </row>
    <row r="19" spans="1:9" s="48" customFormat="1" ht="14.25" customHeight="1">
      <c r="A19" s="437" t="s">
        <v>230</v>
      </c>
      <c r="B19" s="438" t="str">
        <f>'Planilha Orcamentária'!D29</f>
        <v>SERVIÇOS DE CALÇAMENTO EM BLOQUETE</v>
      </c>
      <c r="C19" s="45" t="s">
        <v>28</v>
      </c>
      <c r="D19" s="46">
        <f>D20/$D$29</f>
        <v>0.21570239702662619</v>
      </c>
      <c r="E19" s="47"/>
      <c r="F19" s="47"/>
      <c r="G19" s="47">
        <v>0.65</v>
      </c>
      <c r="H19" s="47">
        <v>0.35</v>
      </c>
    </row>
    <row r="20" spans="1:9" s="48" customFormat="1" ht="14.25" customHeight="1">
      <c r="A20" s="437"/>
      <c r="B20" s="438"/>
      <c r="C20" s="49" t="s">
        <v>29</v>
      </c>
      <c r="D20" s="52">
        <f>'Planilha Orcamentária'!I29</f>
        <v>64712.159999999996</v>
      </c>
      <c r="E20" s="52"/>
      <c r="F20" s="52"/>
      <c r="G20" s="52">
        <f>G19*$D$15</f>
        <v>42062.904000000002</v>
      </c>
      <c r="H20" s="52">
        <f>H19*$D$15</f>
        <v>22649.255999999998</v>
      </c>
    </row>
    <row r="21" spans="1:9" s="48" customFormat="1" ht="14.25" customHeight="1">
      <c r="A21" s="437" t="s">
        <v>232</v>
      </c>
      <c r="B21" s="438" t="str">
        <f>'Planilha Orcamentária'!D33</f>
        <v>OBRAS COMPLEMENTARES</v>
      </c>
      <c r="C21" s="45" t="s">
        <v>28</v>
      </c>
      <c r="D21" s="46">
        <f>D22/$D$29</f>
        <v>7.0099772445066891E-2</v>
      </c>
      <c r="E21" s="47"/>
      <c r="F21" s="47"/>
      <c r="G21" s="47">
        <v>0.65</v>
      </c>
      <c r="H21" s="47">
        <v>0.35</v>
      </c>
    </row>
    <row r="22" spans="1:9" s="48" customFormat="1" ht="14.25" customHeight="1">
      <c r="A22" s="437"/>
      <c r="B22" s="438"/>
      <c r="C22" s="49" t="s">
        <v>29</v>
      </c>
      <c r="D22" s="52">
        <f>'Planilha Orcamentária'!I33</f>
        <v>21030.400000000001</v>
      </c>
      <c r="E22" s="52"/>
      <c r="F22" s="52"/>
      <c r="G22" s="52">
        <f>G21*$D$17</f>
        <v>13669.760000000002</v>
      </c>
      <c r="H22" s="52">
        <f>H21*$D$17</f>
        <v>7360.64</v>
      </c>
    </row>
    <row r="23" spans="1:9" s="48" customFormat="1" ht="21.6" customHeight="1">
      <c r="A23" s="448" t="str">
        <f>'Planilha Orcamentária'!D36</f>
        <v>MORRO DO RIO GRANDE - TRECHO 04</v>
      </c>
      <c r="B23" s="449"/>
      <c r="C23" s="449"/>
      <c r="D23" s="449"/>
      <c r="E23" s="449"/>
      <c r="F23" s="449"/>
      <c r="G23" s="449"/>
      <c r="H23" s="450"/>
    </row>
    <row r="24" spans="1:9" s="48" customFormat="1" ht="14.25" customHeight="1">
      <c r="A24" s="437" t="s">
        <v>236</v>
      </c>
      <c r="B24" s="438" t="str">
        <f>'Planilha Orcamentária'!D37</f>
        <v>SERVIÇOS DE CALÇAMENTO EM BLOQUETE</v>
      </c>
      <c r="C24" s="45" t="s">
        <v>28</v>
      </c>
      <c r="D24" s="46">
        <f>D25/$D$29</f>
        <v>0.1006611252789438</v>
      </c>
      <c r="E24" s="47"/>
      <c r="F24" s="47"/>
      <c r="G24" s="47"/>
      <c r="H24" s="47">
        <v>1</v>
      </c>
    </row>
    <row r="25" spans="1:9" s="48" customFormat="1" ht="14.25" customHeight="1">
      <c r="A25" s="437"/>
      <c r="B25" s="438"/>
      <c r="C25" s="49" t="s">
        <v>29</v>
      </c>
      <c r="D25" s="52">
        <f>'Planilha Orcamentária'!I37</f>
        <v>30199.010000000002</v>
      </c>
      <c r="E25" s="52"/>
      <c r="F25" s="52"/>
      <c r="G25" s="52"/>
      <c r="H25" s="52">
        <f>H24*$D$25</f>
        <v>30199.010000000002</v>
      </c>
    </row>
    <row r="26" spans="1:9" s="48" customFormat="1" ht="14.25" customHeight="1">
      <c r="A26" s="437" t="s">
        <v>238</v>
      </c>
      <c r="B26" s="438" t="str">
        <f>'Planilha Orcamentária'!D41</f>
        <v>OBRAS COMPLEMENTARES</v>
      </c>
      <c r="C26" s="45" t="s">
        <v>28</v>
      </c>
      <c r="D26" s="46">
        <f>D27/$D$29</f>
        <v>3.3919244731483979E-2</v>
      </c>
      <c r="E26" s="47"/>
      <c r="F26" s="47"/>
      <c r="G26" s="47"/>
      <c r="H26" s="47">
        <v>1</v>
      </c>
    </row>
    <row r="27" spans="1:9" s="48" customFormat="1" ht="14.25" customHeight="1">
      <c r="A27" s="437"/>
      <c r="B27" s="438"/>
      <c r="C27" s="49" t="s">
        <v>29</v>
      </c>
      <c r="D27" s="52">
        <f>'Planilha Orcamentária'!I41</f>
        <v>10176</v>
      </c>
      <c r="E27" s="52"/>
      <c r="F27" s="52"/>
      <c r="G27" s="52"/>
      <c r="H27" s="52">
        <f>H26*$D$27</f>
        <v>10176</v>
      </c>
    </row>
    <row r="28" spans="1:9" s="48" customFormat="1" ht="14.25" customHeight="1">
      <c r="A28" s="437" t="s">
        <v>30</v>
      </c>
      <c r="B28" s="437"/>
      <c r="C28" s="45" t="s">
        <v>28</v>
      </c>
      <c r="D28" s="46">
        <f>D6+D9+D11+D14+D16</f>
        <v>0.57961746051787921</v>
      </c>
      <c r="E28" s="47">
        <f>E29/$D$29</f>
        <v>0.25094496562543206</v>
      </c>
      <c r="F28" s="47">
        <f>F29/$D$29</f>
        <v>0.25722195252452373</v>
      </c>
      <c r="G28" s="47">
        <f>G29/$D$29</f>
        <v>0.25722195252452379</v>
      </c>
      <c r="H28" s="47">
        <f>H29/$D$29</f>
        <v>0.23461112932552036</v>
      </c>
      <c r="I28" s="222"/>
    </row>
    <row r="29" spans="1:9" s="48" customFormat="1" ht="13.5" customHeight="1">
      <c r="A29" s="437"/>
      <c r="B29" s="437"/>
      <c r="C29" s="45" t="s">
        <v>29</v>
      </c>
      <c r="D29" s="53">
        <f>D17+D15+D12+D10+D7+D20+D22+D25+D27</f>
        <v>300006.68</v>
      </c>
      <c r="E29" s="53">
        <f>E7+E10+E12+E15+E17+E20+E22+E25+E27</f>
        <v>75285.165999999997</v>
      </c>
      <c r="F29" s="53">
        <f>F7+F10+F12+F15+F17+F20+F22+F25+F27</f>
        <v>77168.303999999989</v>
      </c>
      <c r="G29" s="53">
        <f>G7+G10+G12+G15+G17+G20+G22+G25+G27</f>
        <v>77168.304000000004</v>
      </c>
      <c r="H29" s="53">
        <f>H7+H10+H12+H15+H17+H20+H22+H25+H27</f>
        <v>70384.906000000003</v>
      </c>
      <c r="I29" s="90"/>
    </row>
    <row r="30" spans="1:9" ht="14.25" customHeight="1">
      <c r="A30" s="228"/>
      <c r="B30" s="229"/>
      <c r="C30" s="229"/>
      <c r="D30" s="229"/>
      <c r="E30" s="229"/>
      <c r="F30" s="451" t="s">
        <v>31</v>
      </c>
      <c r="G30" s="452"/>
      <c r="H30" s="453"/>
    </row>
    <row r="31" spans="1:9" ht="27.75" customHeight="1">
      <c r="A31" s="228"/>
      <c r="B31" s="50"/>
      <c r="C31" s="229"/>
      <c r="F31" s="439"/>
      <c r="G31" s="440"/>
      <c r="H31" s="441"/>
    </row>
    <row r="32" spans="1:9" ht="14.4">
      <c r="A32" s="230"/>
      <c r="B32" s="86" t="str">
        <f>'Planilha Orcamentária'!C51</f>
        <v>Priscila Cristina de Paula</v>
      </c>
      <c r="D32" s="231"/>
      <c r="E32" s="231"/>
      <c r="F32" s="439"/>
      <c r="G32" s="440"/>
      <c r="H32" s="441"/>
    </row>
    <row r="33" spans="1:8" ht="19.5" customHeight="1">
      <c r="A33" s="232"/>
      <c r="B33" s="41" t="str">
        <f>'Planilha Orcamentária'!C53</f>
        <v>Engenheira Civil</v>
      </c>
      <c r="F33" s="439"/>
      <c r="G33" s="440"/>
      <c r="H33" s="441"/>
    </row>
    <row r="34" spans="1:8" ht="19.5" customHeight="1">
      <c r="A34" s="232"/>
      <c r="B34" s="41" t="s">
        <v>54</v>
      </c>
      <c r="F34" s="439"/>
      <c r="G34" s="440"/>
      <c r="H34" s="441"/>
    </row>
    <row r="35" spans="1:8" ht="19.5" customHeight="1">
      <c r="A35" s="232"/>
      <c r="B35" s="41"/>
      <c r="F35" s="439"/>
      <c r="G35" s="440"/>
      <c r="H35" s="441"/>
    </row>
    <row r="36" spans="1:8" ht="13.5" customHeight="1">
      <c r="A36" s="233"/>
      <c r="B36" s="66"/>
      <c r="C36" s="234"/>
      <c r="D36" s="234"/>
      <c r="E36" s="235"/>
      <c r="F36" s="439"/>
      <c r="G36" s="440"/>
      <c r="H36" s="441"/>
    </row>
    <row r="37" spans="1:8" ht="14.25" customHeight="1">
      <c r="A37" s="232"/>
      <c r="B37" s="86" t="str">
        <f>'Planilha Orcamentária'!C59</f>
        <v>Luzimar de Moura Benfica</v>
      </c>
      <c r="F37" s="439"/>
      <c r="G37" s="440"/>
      <c r="H37" s="441"/>
    </row>
    <row r="38" spans="1:8" ht="14.1" customHeight="1">
      <c r="A38" s="236"/>
      <c r="B38" s="237" t="str" cm="1">
        <f t="array" ref="B38:C38">'Planilha Orcamentária'!C60:D60</f>
        <v>Prefeito Municipal</v>
      </c>
      <c r="C38" s="238">
        <v>0</v>
      </c>
      <c r="D38" s="238"/>
      <c r="E38" s="239"/>
      <c r="F38" s="442"/>
      <c r="G38" s="443"/>
      <c r="H38" s="444"/>
    </row>
  </sheetData>
  <mergeCells count="32">
    <mergeCell ref="A24:A25"/>
    <mergeCell ref="B24:B25"/>
    <mergeCell ref="A26:A27"/>
    <mergeCell ref="B26:B27"/>
    <mergeCell ref="A19:A20"/>
    <mergeCell ref="B19:B20"/>
    <mergeCell ref="A21:A22"/>
    <mergeCell ref="B21:B22"/>
    <mergeCell ref="A23:H23"/>
    <mergeCell ref="A14:A15"/>
    <mergeCell ref="A1:E1"/>
    <mergeCell ref="E4:H4"/>
    <mergeCell ref="A3:B3"/>
    <mergeCell ref="F3:H3"/>
    <mergeCell ref="A2:H2"/>
    <mergeCell ref="B14:B15"/>
    <mergeCell ref="A16:A17"/>
    <mergeCell ref="B16:B17"/>
    <mergeCell ref="F31:H38"/>
    <mergeCell ref="A4:B4"/>
    <mergeCell ref="A28:B29"/>
    <mergeCell ref="A6:A7"/>
    <mergeCell ref="B6:B7"/>
    <mergeCell ref="C4:D4"/>
    <mergeCell ref="A9:A10"/>
    <mergeCell ref="B9:B10"/>
    <mergeCell ref="A8:H8"/>
    <mergeCell ref="A11:A12"/>
    <mergeCell ref="B11:B12"/>
    <mergeCell ref="F30:H30"/>
    <mergeCell ref="A13:H13"/>
    <mergeCell ref="A18:H18"/>
  </mergeCells>
  <phoneticPr fontId="4" type="noConversion"/>
  <printOptions horizontalCentered="1"/>
  <pageMargins left="0.39370078740157483" right="0.19685039370078741" top="0.59055118110236227" bottom="0.19685039370078741" header="0.19685039370078741" footer="0"/>
  <pageSetup paperSize="9" scale="84" orientation="landscape" horizontalDpi="4294967295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18B11-AF7E-4A13-ACE8-F9EA7542E131}">
  <dimension ref="A1:R131"/>
  <sheetViews>
    <sheetView view="pageBreakPreview" topLeftCell="A22" zoomScaleNormal="100" zoomScaleSheetLayoutView="100" workbookViewId="0">
      <selection activeCell="G45" sqref="G45:I45"/>
    </sheetView>
  </sheetViews>
  <sheetFormatPr defaultRowHeight="13.2"/>
  <cols>
    <col min="1" max="10" width="12.77734375" style="91" customWidth="1"/>
    <col min="11" max="14" width="8.88671875" style="91"/>
    <col min="15" max="15" width="9.33203125" style="91" bestFit="1" customWidth="1"/>
    <col min="16" max="16" width="9.21875" style="91" bestFit="1" customWidth="1"/>
    <col min="17" max="17" width="9" style="91" bestFit="1" customWidth="1"/>
    <col min="18" max="16384" width="8.88671875" style="91"/>
  </cols>
  <sheetData>
    <row r="1" spans="1:10" ht="15.6">
      <c r="A1" s="185"/>
      <c r="B1" s="185"/>
      <c r="C1" s="185"/>
      <c r="D1" s="185"/>
      <c r="E1" s="185"/>
      <c r="F1" s="186" t="str">
        <f>"Quadro de Composição do BDI"</f>
        <v>Quadro de Composição do BDI</v>
      </c>
      <c r="G1" s="185"/>
      <c r="H1" s="185"/>
      <c r="I1" s="471" t="s">
        <v>175</v>
      </c>
      <c r="J1" s="471"/>
    </row>
    <row r="2" spans="1:10">
      <c r="A2" s="185"/>
      <c r="B2" s="185"/>
      <c r="C2" s="185"/>
      <c r="D2" s="185"/>
      <c r="E2" s="185"/>
      <c r="F2" s="185"/>
      <c r="G2" s="185"/>
      <c r="H2" s="185"/>
      <c r="I2" s="472" t="s">
        <v>176</v>
      </c>
      <c r="J2" s="472"/>
    </row>
    <row r="3" spans="1:10">
      <c r="A3" s="185"/>
      <c r="B3" s="185"/>
      <c r="C3" s="185"/>
      <c r="D3" s="185"/>
      <c r="E3" s="185"/>
      <c r="F3" s="185"/>
      <c r="G3" s="185"/>
      <c r="H3" s="185"/>
      <c r="I3" s="185"/>
      <c r="J3" s="185"/>
    </row>
    <row r="4" spans="1:10">
      <c r="A4" s="466" t="s">
        <v>177</v>
      </c>
      <c r="B4" s="466"/>
      <c r="C4" s="466" t="s">
        <v>178</v>
      </c>
      <c r="D4" s="466"/>
      <c r="E4" s="466" t="s">
        <v>179</v>
      </c>
      <c r="F4" s="466"/>
      <c r="G4" s="466"/>
      <c r="H4" s="466"/>
      <c r="I4" s="466"/>
      <c r="J4" s="466"/>
    </row>
    <row r="5" spans="1:10">
      <c r="A5" s="473"/>
      <c r="B5" s="473"/>
      <c r="C5" s="473"/>
      <c r="D5" s="473"/>
      <c r="E5" s="473" t="s">
        <v>247</v>
      </c>
      <c r="F5" s="473"/>
      <c r="G5" s="473"/>
      <c r="H5" s="473"/>
      <c r="I5" s="473"/>
      <c r="J5" s="473"/>
    </row>
    <row r="6" spans="1:10">
      <c r="A6" s="187"/>
      <c r="B6" s="187"/>
      <c r="C6" s="187"/>
      <c r="D6" s="187"/>
      <c r="E6" s="187"/>
      <c r="F6" s="187"/>
      <c r="G6" s="187"/>
      <c r="H6" s="187"/>
      <c r="I6" s="187"/>
      <c r="J6" s="187"/>
    </row>
    <row r="7" spans="1:10">
      <c r="A7" s="466" t="s">
        <v>180</v>
      </c>
      <c r="B7" s="466"/>
      <c r="C7" s="466"/>
      <c r="D7" s="466"/>
      <c r="E7" s="466"/>
      <c r="F7" s="466"/>
      <c r="G7" s="466"/>
      <c r="H7" s="466"/>
      <c r="I7" s="466"/>
      <c r="J7" s="466"/>
    </row>
    <row r="8" spans="1:10">
      <c r="A8" s="467" t="s">
        <v>222</v>
      </c>
      <c r="B8" s="467"/>
      <c r="C8" s="467"/>
      <c r="D8" s="467"/>
      <c r="E8" s="467"/>
      <c r="F8" s="467"/>
      <c r="G8" s="467"/>
      <c r="H8" s="467"/>
      <c r="I8" s="467"/>
      <c r="J8" s="467"/>
    </row>
    <row r="9" spans="1:10">
      <c r="A9" s="187"/>
      <c r="B9" s="187"/>
      <c r="C9" s="187"/>
      <c r="D9" s="187"/>
      <c r="E9" s="187"/>
      <c r="F9" s="187"/>
      <c r="G9" s="187"/>
      <c r="H9" s="187"/>
      <c r="I9" s="187"/>
      <c r="J9" s="187"/>
    </row>
    <row r="10" spans="1:10">
      <c r="A10" s="468" t="s">
        <v>181</v>
      </c>
      <c r="B10" s="468"/>
      <c r="C10" s="468"/>
      <c r="D10" s="468"/>
      <c r="E10" s="468"/>
      <c r="F10" s="468"/>
      <c r="G10" s="468"/>
      <c r="H10" s="468"/>
      <c r="I10" s="469">
        <v>1</v>
      </c>
      <c r="J10" s="469"/>
    </row>
    <row r="11" spans="1:10">
      <c r="A11" s="470" t="s">
        <v>182</v>
      </c>
      <c r="B11" s="470"/>
      <c r="C11" s="470"/>
      <c r="D11" s="470"/>
      <c r="E11" s="470"/>
      <c r="F11" s="470"/>
      <c r="G11" s="470"/>
      <c r="H11" s="470"/>
      <c r="I11" s="469">
        <v>2.5000000000000001E-2</v>
      </c>
      <c r="J11" s="469"/>
    </row>
    <row r="12" spans="1:10" ht="7.95" customHeight="1">
      <c r="A12" s="188"/>
      <c r="B12" s="188"/>
      <c r="C12" s="188"/>
      <c r="D12" s="188"/>
      <c r="E12" s="188"/>
      <c r="F12" s="188"/>
      <c r="G12" s="188"/>
      <c r="H12" s="188"/>
      <c r="I12" s="188"/>
      <c r="J12" s="188"/>
    </row>
    <row r="13" spans="1:10" ht="15.6">
      <c r="A13" s="481" t="s">
        <v>183</v>
      </c>
      <c r="B13" s="481"/>
      <c r="C13" s="481"/>
      <c r="D13" s="481"/>
      <c r="E13" s="481"/>
      <c r="F13" s="481"/>
      <c r="G13" s="481"/>
      <c r="H13" s="481"/>
      <c r="I13" s="481"/>
      <c r="J13" s="481"/>
    </row>
    <row r="14" spans="1:10" ht="7.95" customHeight="1">
      <c r="A14" s="185"/>
      <c r="B14" s="185"/>
      <c r="C14" s="185"/>
      <c r="D14" s="185"/>
      <c r="E14" s="185"/>
      <c r="F14" s="185"/>
      <c r="G14" s="185"/>
      <c r="H14" s="185"/>
      <c r="I14" s="185"/>
      <c r="J14" s="185"/>
    </row>
    <row r="15" spans="1:10">
      <c r="A15" s="466" t="s">
        <v>184</v>
      </c>
      <c r="B15" s="466"/>
      <c r="C15" s="466"/>
      <c r="D15" s="466"/>
      <c r="E15" s="466"/>
      <c r="F15" s="466"/>
      <c r="G15" s="466"/>
      <c r="H15" s="466"/>
      <c r="I15" s="466"/>
      <c r="J15" s="466"/>
    </row>
    <row r="16" spans="1:10">
      <c r="A16" s="482" t="s">
        <v>185</v>
      </c>
      <c r="B16" s="482"/>
      <c r="C16" s="482"/>
      <c r="D16" s="482"/>
      <c r="E16" s="482"/>
      <c r="F16" s="482"/>
      <c r="G16" s="482"/>
      <c r="H16" s="482"/>
      <c r="I16" s="482"/>
      <c r="J16" s="482"/>
    </row>
    <row r="17" spans="1:18">
      <c r="A17" s="185"/>
      <c r="B17" s="185"/>
      <c r="C17" s="185"/>
      <c r="D17" s="185"/>
      <c r="E17" s="185"/>
      <c r="F17" s="185"/>
      <c r="G17" s="185"/>
      <c r="H17" s="185"/>
      <c r="I17" s="185"/>
      <c r="J17" s="185"/>
    </row>
    <row r="18" spans="1:18" ht="13.2" customHeight="1">
      <c r="A18" s="483" t="s">
        <v>186</v>
      </c>
      <c r="B18" s="483"/>
      <c r="C18" s="483"/>
      <c r="D18" s="483"/>
      <c r="E18" s="483"/>
      <c r="F18" s="483"/>
      <c r="G18" s="483"/>
      <c r="H18" s="483"/>
      <c r="I18" s="483" t="s">
        <v>187</v>
      </c>
      <c r="J18" s="484" t="s">
        <v>188</v>
      </c>
      <c r="L18" s="474" t="s">
        <v>189</v>
      </c>
      <c r="M18" s="475"/>
      <c r="N18" s="475"/>
      <c r="O18" s="189" t="s">
        <v>190</v>
      </c>
      <c r="P18" s="189" t="s">
        <v>191</v>
      </c>
      <c r="Q18" s="189" t="s">
        <v>192</v>
      </c>
      <c r="R18" s="190"/>
    </row>
    <row r="19" spans="1:18" ht="13.2" customHeight="1">
      <c r="A19" s="483"/>
      <c r="B19" s="483"/>
      <c r="C19" s="483"/>
      <c r="D19" s="483"/>
      <c r="E19" s="483"/>
      <c r="F19" s="483"/>
      <c r="G19" s="483"/>
      <c r="H19" s="483"/>
      <c r="I19" s="483"/>
      <c r="J19" s="484"/>
      <c r="L19" s="92"/>
      <c r="R19" s="93"/>
    </row>
    <row r="20" spans="1:18" ht="13.8">
      <c r="A20" s="476" t="s">
        <v>193</v>
      </c>
      <c r="B20" s="477"/>
      <c r="C20" s="477"/>
      <c r="D20" s="477"/>
      <c r="E20" s="477"/>
      <c r="F20" s="477"/>
      <c r="G20" s="477"/>
      <c r="H20" s="477"/>
      <c r="I20" s="191" t="s">
        <v>75</v>
      </c>
      <c r="J20" s="192">
        <v>3.9449999999999999E-2</v>
      </c>
      <c r="L20" s="478" t="str">
        <f>IFERROR(IF(K20="◄","FALTA PREENCHER",IF(AND(OR(J20&gt;=O20,O20="-"),OR(J20&lt;=Q20,Q20="-")),"OK","FORA DO INTERVALO")),"-")</f>
        <v>OK</v>
      </c>
      <c r="M20" s="479"/>
      <c r="N20" s="480"/>
      <c r="O20" s="192">
        <v>3.7999999999999999E-2</v>
      </c>
      <c r="P20" s="192">
        <v>4.0099999999999997E-2</v>
      </c>
      <c r="Q20" s="192">
        <v>4.6699999999999998E-2</v>
      </c>
      <c r="R20" s="93"/>
    </row>
    <row r="21" spans="1:18" ht="13.8">
      <c r="A21" s="476" t="s">
        <v>194</v>
      </c>
      <c r="B21" s="477"/>
      <c r="C21" s="477"/>
      <c r="D21" s="477"/>
      <c r="E21" s="477"/>
      <c r="F21" s="477"/>
      <c r="G21" s="477"/>
      <c r="H21" s="477"/>
      <c r="I21" s="191" t="s">
        <v>195</v>
      </c>
      <c r="J21" s="192">
        <v>3.2000000000000002E-3</v>
      </c>
      <c r="L21" s="478" t="str">
        <f t="shared" ref="L21:L27" si="0">IFERROR(IF(K21="◄","FALTA PREENCHER",IF(AND(OR(J21&gt;=O21,O21="-"),OR(J21&lt;=Q21,Q21="-")),"OK","FORA DO INTERVALO")),"-")</f>
        <v>OK</v>
      </c>
      <c r="M21" s="479"/>
      <c r="N21" s="480"/>
      <c r="O21" s="192">
        <v>3.2000000000000002E-3</v>
      </c>
      <c r="P21" s="192">
        <v>4.0000000000000001E-3</v>
      </c>
      <c r="Q21" s="192">
        <v>7.4000000000000003E-3</v>
      </c>
      <c r="R21" s="93"/>
    </row>
    <row r="22" spans="1:18" ht="13.8">
      <c r="A22" s="476" t="s">
        <v>196</v>
      </c>
      <c r="B22" s="477"/>
      <c r="C22" s="477"/>
      <c r="D22" s="477"/>
      <c r="E22" s="477"/>
      <c r="F22" s="477"/>
      <c r="G22" s="477"/>
      <c r="H22" s="477"/>
      <c r="I22" s="191" t="s">
        <v>84</v>
      </c>
      <c r="J22" s="192">
        <v>5.5999999999999999E-3</v>
      </c>
      <c r="L22" s="478" t="str">
        <f t="shared" si="0"/>
        <v>OK</v>
      </c>
      <c r="M22" s="479"/>
      <c r="N22" s="480"/>
      <c r="O22" s="192">
        <v>5.0000000000000001E-3</v>
      </c>
      <c r="P22" s="192">
        <v>5.6000000000000008E-3</v>
      </c>
      <c r="Q22" s="192">
        <v>9.7000000000000003E-3</v>
      </c>
      <c r="R22" s="93"/>
    </row>
    <row r="23" spans="1:18" ht="13.8" customHeight="1">
      <c r="A23" s="476" t="s">
        <v>197</v>
      </c>
      <c r="B23" s="477"/>
      <c r="C23" s="477"/>
      <c r="D23" s="477"/>
      <c r="E23" s="477"/>
      <c r="F23" s="477"/>
      <c r="G23" s="477"/>
      <c r="H23" s="477"/>
      <c r="I23" s="191" t="s">
        <v>79</v>
      </c>
      <c r="J23" s="192">
        <v>1.0200000000000001E-2</v>
      </c>
      <c r="L23" s="478" t="str">
        <f t="shared" si="0"/>
        <v>OK</v>
      </c>
      <c r="M23" s="479"/>
      <c r="N23" s="480"/>
      <c r="O23" s="192">
        <v>1.0200000000000001E-2</v>
      </c>
      <c r="P23" s="192">
        <v>1.11E-2</v>
      </c>
      <c r="Q23" s="192">
        <v>1.21E-2</v>
      </c>
      <c r="R23" s="93"/>
    </row>
    <row r="24" spans="1:18" ht="13.8">
      <c r="A24" s="476" t="s">
        <v>198</v>
      </c>
      <c r="B24" s="477"/>
      <c r="C24" s="477"/>
      <c r="D24" s="477"/>
      <c r="E24" s="477"/>
      <c r="F24" s="477"/>
      <c r="G24" s="477"/>
      <c r="H24" s="477"/>
      <c r="I24" s="191" t="s">
        <v>77</v>
      </c>
      <c r="J24" s="192">
        <v>6.6400000000000001E-2</v>
      </c>
      <c r="L24" s="478" t="str">
        <f t="shared" si="0"/>
        <v>OK</v>
      </c>
      <c r="M24" s="479"/>
      <c r="N24" s="480"/>
      <c r="O24" s="192">
        <v>6.6400000000000001E-2</v>
      </c>
      <c r="P24" s="192">
        <v>7.2999999999999995E-2</v>
      </c>
      <c r="Q24" s="192">
        <v>8.6899999999999991E-2</v>
      </c>
      <c r="R24" s="93"/>
    </row>
    <row r="25" spans="1:18" ht="13.8">
      <c r="A25" s="477" t="s">
        <v>199</v>
      </c>
      <c r="B25" s="477"/>
      <c r="C25" s="477"/>
      <c r="D25" s="477"/>
      <c r="E25" s="477"/>
      <c r="F25" s="477"/>
      <c r="G25" s="477"/>
      <c r="H25" s="477"/>
      <c r="I25" s="191" t="s">
        <v>200</v>
      </c>
      <c r="J25" s="192">
        <v>3.6499999999999998E-2</v>
      </c>
      <c r="L25" s="478" t="str">
        <f t="shared" si="0"/>
        <v>OK</v>
      </c>
      <c r="M25" s="479"/>
      <c r="N25" s="480"/>
      <c r="O25" s="192">
        <v>3.6499999999999998E-2</v>
      </c>
      <c r="P25" s="192">
        <v>3.6499999999999998E-2</v>
      </c>
      <c r="Q25" s="192">
        <v>3.6499999999999998E-2</v>
      </c>
      <c r="R25" s="93"/>
    </row>
    <row r="26" spans="1:18" ht="13.8">
      <c r="A26" s="477" t="s">
        <v>201</v>
      </c>
      <c r="B26" s="477"/>
      <c r="C26" s="477"/>
      <c r="D26" s="477"/>
      <c r="E26" s="477"/>
      <c r="F26" s="477"/>
      <c r="G26" s="477"/>
      <c r="H26" s="477"/>
      <c r="I26" s="191" t="s">
        <v>56</v>
      </c>
      <c r="J26" s="192">
        <v>2.5000000000000001E-2</v>
      </c>
      <c r="L26" s="478" t="str">
        <f t="shared" si="0"/>
        <v>OK</v>
      </c>
      <c r="M26" s="479"/>
      <c r="N26" s="480"/>
      <c r="O26" s="192">
        <v>0</v>
      </c>
      <c r="P26" s="192">
        <v>2.5000000000000001E-2</v>
      </c>
      <c r="Q26" s="192">
        <v>0.05</v>
      </c>
      <c r="R26" s="93"/>
    </row>
    <row r="27" spans="1:18" ht="13.8">
      <c r="A27" s="477" t="s">
        <v>202</v>
      </c>
      <c r="B27" s="477"/>
      <c r="C27" s="477"/>
      <c r="D27" s="477"/>
      <c r="E27" s="477"/>
      <c r="F27" s="477"/>
      <c r="G27" s="477"/>
      <c r="H27" s="477"/>
      <c r="I27" s="191" t="s">
        <v>89</v>
      </c>
      <c r="J27" s="192">
        <v>3.5999999999999997E-2</v>
      </c>
      <c r="L27" s="478" t="str">
        <f t="shared" si="0"/>
        <v>OK</v>
      </c>
      <c r="M27" s="479"/>
      <c r="N27" s="480"/>
      <c r="O27" s="193">
        <v>3.6000000000000004E-2</v>
      </c>
      <c r="P27" s="193">
        <v>3.6000000000000004E-2</v>
      </c>
      <c r="Q27" s="193">
        <v>3.6000000000000004E-2</v>
      </c>
      <c r="R27" s="93"/>
    </row>
    <row r="28" spans="1:18" ht="13.8">
      <c r="A28" s="477" t="s">
        <v>203</v>
      </c>
      <c r="B28" s="477"/>
      <c r="C28" s="477"/>
      <c r="D28" s="477"/>
      <c r="E28" s="477"/>
      <c r="F28" s="477"/>
      <c r="G28" s="477"/>
      <c r="H28" s="477"/>
      <c r="I28" s="194" t="s">
        <v>204</v>
      </c>
      <c r="J28" s="192">
        <f>ROUND((((1+J20+J21+J22)*(1+J23)*(1+J24)/(1-(J25+J26)))-1),4)</f>
        <v>0.20330000000000001</v>
      </c>
      <c r="L28" s="478" t="str">
        <f>IFERROR(IF(AND(OR(J28&gt;=O28,O28="-"),OR(J28&lt;=Q28,Q28="-")),"OK","FORA DO INTERVALO"),IF(J28=0,"OK","Selecione o Tipo de obra"))</f>
        <v>OK</v>
      </c>
      <c r="M28" s="479"/>
      <c r="N28" s="480"/>
      <c r="O28" s="192">
        <v>0.19600000000000001</v>
      </c>
      <c r="P28" s="192">
        <v>0.2097</v>
      </c>
      <c r="Q28" s="192">
        <v>0.24230000000000002</v>
      </c>
      <c r="R28" s="93"/>
    </row>
    <row r="29" spans="1:18" ht="13.8" hidden="1">
      <c r="A29" s="491" t="s">
        <v>205</v>
      </c>
      <c r="B29" s="491"/>
      <c r="C29" s="491"/>
      <c r="D29" s="491"/>
      <c r="E29" s="491"/>
      <c r="F29" s="491"/>
      <c r="G29" s="491"/>
      <c r="H29" s="491"/>
      <c r="I29" s="195" t="s">
        <v>206</v>
      </c>
      <c r="J29" s="196">
        <f>IF($J16=$A$145,0,ROUND((((1+J20+J21+J22)*(1+J23)*(1+J24)/(1-(J25+J26+J27)))-1),4))</f>
        <v>0</v>
      </c>
      <c r="L29" s="197"/>
      <c r="M29" s="198"/>
      <c r="N29" s="198"/>
      <c r="O29" s="198"/>
      <c r="P29" s="198"/>
      <c r="Q29" s="198"/>
      <c r="R29" s="199"/>
    </row>
    <row r="30" spans="1:18" hidden="1">
      <c r="A30" s="185"/>
      <c r="B30" s="185"/>
      <c r="C30" s="185"/>
      <c r="D30" s="185"/>
      <c r="E30" s="185"/>
      <c r="F30" s="185"/>
      <c r="G30" s="185"/>
      <c r="H30" s="185"/>
      <c r="I30" s="185"/>
      <c r="J30" s="185"/>
    </row>
    <row r="31" spans="1:18" ht="15.6" hidden="1">
      <c r="A31" s="200" t="str">
        <f>IF(L28&lt;&gt;"ok","X","")</f>
        <v/>
      </c>
      <c r="B31" s="492" t="str">
        <f>IF(L28&lt;&gt;"ok","Anexo: Relatório Técnico Circunstanciado justificando a adoção do percentual de cada parcela do BDI.","")</f>
        <v/>
      </c>
      <c r="C31" s="492"/>
      <c r="D31" s="492"/>
      <c r="E31" s="492"/>
      <c r="F31" s="492"/>
      <c r="G31" s="492"/>
      <c r="H31" s="492"/>
      <c r="I31" s="492"/>
      <c r="J31" s="492"/>
    </row>
    <row r="32" spans="1:18" ht="13.8">
      <c r="A32" s="491" t="s">
        <v>205</v>
      </c>
      <c r="B32" s="491"/>
      <c r="C32" s="491"/>
      <c r="D32" s="491"/>
      <c r="E32" s="491"/>
      <c r="F32" s="491"/>
      <c r="G32" s="491"/>
      <c r="H32" s="491"/>
      <c r="I32" s="195" t="s">
        <v>206</v>
      </c>
      <c r="J32" s="196">
        <f>ROUND((((1+J20+J21+J22)*(1+J23)*(1+J24)/(1-(J25+J26+J27)))-1),4)</f>
        <v>0.25130000000000002</v>
      </c>
    </row>
    <row r="33" spans="1:10">
      <c r="A33" s="185"/>
      <c r="B33" s="185"/>
      <c r="C33" s="185"/>
      <c r="D33" s="185"/>
      <c r="E33" s="185"/>
      <c r="F33" s="185"/>
      <c r="G33" s="185"/>
      <c r="H33" s="185"/>
      <c r="I33" s="185"/>
      <c r="J33" s="185"/>
    </row>
    <row r="34" spans="1:10">
      <c r="A34" s="493" t="s">
        <v>207</v>
      </c>
      <c r="B34" s="493"/>
      <c r="C34" s="493"/>
      <c r="D34" s="493"/>
      <c r="E34" s="493"/>
      <c r="F34" s="493"/>
      <c r="G34" s="493"/>
      <c r="H34" s="493"/>
      <c r="I34" s="493"/>
      <c r="J34" s="493"/>
    </row>
    <row r="35" spans="1:10" ht="15.6">
      <c r="A35" s="201"/>
      <c r="B35" s="201"/>
      <c r="C35" s="201"/>
      <c r="D35" s="494" t="s">
        <v>208</v>
      </c>
      <c r="E35" s="495" t="s">
        <v>209</v>
      </c>
      <c r="F35" s="496"/>
      <c r="G35" s="496"/>
      <c r="H35" s="497" t="s">
        <v>210</v>
      </c>
      <c r="I35" s="204"/>
      <c r="J35" s="201"/>
    </row>
    <row r="36" spans="1:10" ht="15.6">
      <c r="A36" s="201"/>
      <c r="B36" s="201"/>
      <c r="C36" s="201"/>
      <c r="D36" s="494"/>
      <c r="E36" s="498" t="s">
        <v>211</v>
      </c>
      <c r="F36" s="499"/>
      <c r="G36" s="499"/>
      <c r="H36" s="497"/>
      <c r="I36" s="201"/>
      <c r="J36" s="201"/>
    </row>
    <row r="37" spans="1:10">
      <c r="A37" s="206"/>
      <c r="B37" s="206"/>
      <c r="C37" s="206"/>
      <c r="D37" s="206"/>
      <c r="E37" s="206"/>
      <c r="F37" s="206"/>
      <c r="G37" s="206"/>
      <c r="H37" s="206"/>
      <c r="I37" s="206"/>
      <c r="J37" s="206"/>
    </row>
    <row r="38" spans="1:10" ht="33" customHeight="1">
      <c r="A38" s="485" t="str">
        <f>CONCATENATE("Declaro para os devidos fins que, conforme legislação tributária municipal, a base de cálculo deste tipo de obra corresponde à ",$I$10*100,"%, com a respectiva alíquota de ",$I$11*100,"%.")</f>
        <v>Declaro para os devidos fins que, conforme legislação tributária municipal, a base de cálculo deste tipo de obra corresponde à 100%, com a respectiva alíquota de 2,5%.</v>
      </c>
      <c r="B38" s="485"/>
      <c r="C38" s="485"/>
      <c r="D38" s="485"/>
      <c r="E38" s="485"/>
      <c r="F38" s="485"/>
      <c r="G38" s="485"/>
      <c r="H38" s="485"/>
      <c r="I38" s="485"/>
      <c r="J38" s="485"/>
    </row>
    <row r="39" spans="1:10">
      <c r="A39" s="185"/>
      <c r="B39" s="185"/>
      <c r="C39" s="185"/>
      <c r="D39" s="185"/>
      <c r="E39" s="185"/>
      <c r="F39" s="185"/>
      <c r="G39" s="185"/>
      <c r="H39" s="185"/>
      <c r="I39" s="185"/>
      <c r="J39" s="185"/>
    </row>
    <row r="40" spans="1:10" ht="25.2" customHeight="1">
      <c r="A40" s="485"/>
      <c r="B40" s="485"/>
      <c r="C40" s="485"/>
      <c r="D40" s="485"/>
      <c r="E40" s="485"/>
      <c r="F40" s="485"/>
      <c r="G40" s="485"/>
      <c r="H40" s="485"/>
      <c r="I40" s="485"/>
      <c r="J40" s="485"/>
    </row>
    <row r="41" spans="1:10">
      <c r="A41" s="185"/>
      <c r="B41" s="185"/>
      <c r="C41" s="185"/>
      <c r="D41" s="185"/>
      <c r="E41" s="185"/>
      <c r="F41" s="185"/>
      <c r="G41" s="185"/>
      <c r="H41" s="185"/>
      <c r="I41" s="185"/>
      <c r="J41" s="185"/>
    </row>
    <row r="42" spans="1:10">
      <c r="A42" s="185" t="s">
        <v>31</v>
      </c>
      <c r="B42" s="185"/>
      <c r="C42" s="185"/>
      <c r="D42" s="185"/>
      <c r="E42" s="185"/>
      <c r="F42" s="185"/>
      <c r="G42" s="185"/>
      <c r="H42" s="185"/>
      <c r="I42" s="185"/>
      <c r="J42" s="185"/>
    </row>
    <row r="43" spans="1:10">
      <c r="A43" s="486"/>
      <c r="B43" s="486"/>
      <c r="C43" s="486"/>
      <c r="D43" s="486"/>
      <c r="E43" s="486"/>
      <c r="F43" s="486"/>
      <c r="G43" s="486"/>
      <c r="H43" s="486"/>
      <c r="I43" s="486"/>
      <c r="J43" s="486"/>
    </row>
    <row r="44" spans="1:10">
      <c r="A44" s="185"/>
      <c r="B44" s="185"/>
      <c r="C44" s="185"/>
      <c r="D44" s="185"/>
      <c r="E44" s="185"/>
      <c r="F44" s="185"/>
      <c r="G44" s="185"/>
      <c r="H44" s="185"/>
      <c r="I44" s="185"/>
      <c r="J44" s="185"/>
    </row>
    <row r="45" spans="1:10">
      <c r="A45" s="487" t="s">
        <v>253</v>
      </c>
      <c r="B45" s="488"/>
      <c r="C45" s="488"/>
      <c r="D45" s="488"/>
      <c r="E45" s="185"/>
      <c r="F45" s="185"/>
      <c r="G45" s="489" t="s">
        <v>254</v>
      </c>
      <c r="H45" s="489"/>
      <c r="I45" s="489"/>
      <c r="J45" s="207"/>
    </row>
    <row r="46" spans="1:10">
      <c r="A46" s="490" t="s">
        <v>212</v>
      </c>
      <c r="B46" s="490"/>
      <c r="C46" s="490"/>
      <c r="D46" s="490"/>
      <c r="E46" s="185"/>
      <c r="F46" s="208"/>
      <c r="G46" s="209" t="s">
        <v>17</v>
      </c>
      <c r="H46" s="210"/>
      <c r="I46" s="210"/>
      <c r="J46" s="210"/>
    </row>
    <row r="47" spans="1:10">
      <c r="A47" s="185"/>
      <c r="B47" s="185"/>
      <c r="C47" s="185"/>
      <c r="D47" s="185"/>
      <c r="E47" s="185"/>
      <c r="F47" s="185"/>
      <c r="G47" s="185"/>
      <c r="H47" s="185"/>
      <c r="I47" s="185"/>
      <c r="J47" s="185"/>
    </row>
    <row r="48" spans="1:10" ht="13.8">
      <c r="A48" s="502"/>
      <c r="B48" s="502"/>
      <c r="C48" s="502"/>
      <c r="D48" s="502"/>
      <c r="E48" s="211"/>
      <c r="F48" s="185"/>
      <c r="G48" s="185"/>
      <c r="H48" s="185"/>
      <c r="I48" s="185"/>
      <c r="J48" s="185"/>
    </row>
    <row r="49" spans="1:17">
      <c r="A49" s="503" t="s">
        <v>213</v>
      </c>
      <c r="B49" s="503"/>
      <c r="C49" s="503"/>
      <c r="D49" s="503"/>
      <c r="E49" s="185"/>
      <c r="F49" s="185"/>
      <c r="G49" s="185"/>
      <c r="H49" s="185"/>
      <c r="I49" s="185"/>
      <c r="J49" s="185"/>
    </row>
    <row r="50" spans="1:17" ht="13.8">
      <c r="A50" s="212" t="s">
        <v>214</v>
      </c>
      <c r="B50" s="213" t="str">
        <f t="array" ref="B50:B52">Import.RespOrçamento</f>
        <v>PRISCILA CRISTINA DE PAULA NETO</v>
      </c>
      <c r="C50" s="215"/>
      <c r="D50" s="215"/>
      <c r="E50" s="211"/>
      <c r="F50" s="185"/>
      <c r="G50" s="185"/>
      <c r="H50" s="185"/>
      <c r="I50" s="185"/>
      <c r="J50" s="185"/>
    </row>
    <row r="51" spans="1:17" ht="13.8">
      <c r="A51" s="212" t="s">
        <v>215</v>
      </c>
      <c r="B51" s="213" t="str">
        <v>142.702/D</v>
      </c>
      <c r="C51" s="215"/>
      <c r="D51" s="215"/>
      <c r="E51" s="211"/>
      <c r="F51" s="185"/>
      <c r="G51" s="185"/>
      <c r="H51" s="185"/>
      <c r="I51" s="185"/>
      <c r="J51" s="185"/>
    </row>
    <row r="52" spans="1:17" ht="13.8">
      <c r="A52" s="212" t="s">
        <v>216</v>
      </c>
      <c r="B52" s="214" t="str">
        <v>MG20254432279</v>
      </c>
      <c r="C52" s="215"/>
      <c r="D52" s="215"/>
      <c r="E52" s="211"/>
      <c r="F52" s="185"/>
      <c r="G52" s="185"/>
      <c r="H52" s="185"/>
      <c r="I52" s="185"/>
      <c r="J52" s="185"/>
    </row>
    <row r="53" spans="1:17" ht="15.6" hidden="1">
      <c r="A53" s="481" t="s">
        <v>217</v>
      </c>
      <c r="B53" s="481"/>
      <c r="C53" s="481"/>
      <c r="D53" s="481"/>
      <c r="E53" s="481"/>
      <c r="F53" s="481"/>
      <c r="G53" s="481"/>
      <c r="H53" s="481"/>
      <c r="I53" s="481"/>
      <c r="J53" s="481"/>
      <c r="L53" s="216" t="e">
        <f>IF(COUNTIF([2]ORÇAMENTO!$V$15:$V$245,BDI_2.Título)=0,"",IF(OR(Import.BDI.Tipo2="(SELECIONAR)",Import.BDI.Tipo2="",L56&lt;&gt;"",AND($J56&lt;&gt;$A$146,OR(J60="",J61="",AND($J56&lt;&gt;$A$147,OR(J62="",J63="")),J64="",J65=""))),"Falta preencher o BDI 2",""))</f>
        <v>#VALUE!</v>
      </c>
    </row>
    <row r="54" spans="1:17" hidden="1">
      <c r="A54" s="185"/>
      <c r="B54" s="185"/>
      <c r="C54" s="185"/>
      <c r="D54" s="185"/>
      <c r="E54" s="185"/>
      <c r="F54" s="185"/>
      <c r="G54" s="185"/>
      <c r="H54" s="185"/>
      <c r="I54" s="185"/>
      <c r="J54" s="185"/>
    </row>
    <row r="55" spans="1:17" hidden="1">
      <c r="A55" s="466" t="s">
        <v>184</v>
      </c>
      <c r="B55" s="466"/>
      <c r="C55" s="466"/>
      <c r="D55" s="466"/>
      <c r="E55" s="466"/>
      <c r="F55" s="466"/>
      <c r="G55" s="466"/>
      <c r="H55" s="466"/>
      <c r="I55" s="466"/>
      <c r="J55" s="466"/>
    </row>
    <row r="56" spans="1:17" ht="13.8" hidden="1">
      <c r="A56" s="482" t="s">
        <v>218</v>
      </c>
      <c r="B56" s="482"/>
      <c r="C56" s="482"/>
      <c r="D56" s="482"/>
      <c r="E56" s="482"/>
      <c r="F56" s="482"/>
      <c r="G56" s="482"/>
      <c r="H56" s="482"/>
      <c r="I56" s="482"/>
      <c r="J56" s="482"/>
      <c r="K56" s="217" t="e">
        <f>IF(L56="","","◄")</f>
        <v>#VALUE!</v>
      </c>
      <c r="L56" s="218" t="e">
        <f>IF(AND(OR(J68&gt;0,COUNTIF([2]ORÇAMENTO!$V$15:$V$245,BDI_2.Título)&gt;0),OR(Import.BDI.Tipo2="(SELECIONAR)",Import.BDI.Tipo2="")),"Selecione o Tipo de obra","")</f>
        <v>#VALUE!</v>
      </c>
    </row>
    <row r="57" spans="1:17" hidden="1">
      <c r="A57" s="185"/>
      <c r="B57" s="185"/>
      <c r="C57" s="185"/>
      <c r="D57" s="185"/>
      <c r="E57" s="185"/>
      <c r="F57" s="185"/>
      <c r="G57" s="185"/>
      <c r="H57" s="185"/>
      <c r="I57" s="185"/>
      <c r="J57" s="185"/>
    </row>
    <row r="58" spans="1:17" hidden="1">
      <c r="A58" s="483" t="s">
        <v>186</v>
      </c>
      <c r="B58" s="483"/>
      <c r="C58" s="483"/>
      <c r="D58" s="483"/>
      <c r="E58" s="483"/>
      <c r="F58" s="483"/>
      <c r="G58" s="483"/>
      <c r="H58" s="483"/>
      <c r="I58" s="483" t="s">
        <v>187</v>
      </c>
      <c r="J58" s="484" t="s">
        <v>188</v>
      </c>
      <c r="L58" s="484" t="s">
        <v>189</v>
      </c>
      <c r="M58" s="484"/>
      <c r="N58" s="484"/>
      <c r="O58" s="500" t="s">
        <v>190</v>
      </c>
      <c r="P58" s="500" t="s">
        <v>191</v>
      </c>
      <c r="Q58" s="500" t="s">
        <v>192</v>
      </c>
    </row>
    <row r="59" spans="1:17" hidden="1">
      <c r="A59" s="483"/>
      <c r="B59" s="483"/>
      <c r="C59" s="483"/>
      <c r="D59" s="483"/>
      <c r="E59" s="483"/>
      <c r="F59" s="483"/>
      <c r="G59" s="483"/>
      <c r="H59" s="483"/>
      <c r="I59" s="483"/>
      <c r="J59" s="484"/>
      <c r="L59" s="484"/>
      <c r="M59" s="484"/>
      <c r="N59" s="484"/>
      <c r="O59" s="500"/>
      <c r="P59" s="500"/>
      <c r="Q59" s="500"/>
    </row>
    <row r="60" spans="1:17" ht="13.8" hidden="1">
      <c r="A60" s="477" t="str">
        <f>IF($J$17=$A$147,"Encargos Sociais incidentes sobre a mão de obra","Administração Central")</f>
        <v>Encargos Sociais incidentes sobre a mão de obra</v>
      </c>
      <c r="B60" s="477"/>
      <c r="C60" s="477"/>
      <c r="D60" s="477"/>
      <c r="E60" s="477"/>
      <c r="F60" s="477"/>
      <c r="G60" s="477"/>
      <c r="H60" s="477"/>
      <c r="I60" s="191" t="str">
        <f>IF($J56=$A$147,"K1","AC")</f>
        <v>K1</v>
      </c>
      <c r="J60" s="219"/>
      <c r="K60" s="220" t="str">
        <f>IF(AND($U$55&lt;&gt;"",$U$58="",I60&lt;&gt;"",J60=""),"◄","")</f>
        <v/>
      </c>
      <c r="L60" s="501" t="str">
        <f>IFERROR(IF(K60="◄","FALTA PREENCHER",IF(AND(OR(J60&gt;=O60,O60="-"),OR(J60&lt;=Q60,Q60="-")),"OK","FORA DO INTERVALO")),"-")</f>
        <v>-</v>
      </c>
      <c r="M60" s="501"/>
      <c r="N60" s="501"/>
      <c r="O60" s="192" t="e">
        <f>VLOOKUP(CONCATENATE(A56,"-",I60),$C$2:$G$137,3,FALSE)</f>
        <v>#N/A</v>
      </c>
      <c r="P60" s="192" t="e">
        <f>VLOOKUP(CONCATENATE(A56,"-",I60),$C$2:$G$137,4,FALSE)</f>
        <v>#N/A</v>
      </c>
      <c r="Q60" s="192" t="e">
        <f>VLOOKUP(CONCATENATE(A56,"-",I60),$C$2:$G$137,5,FALSE)</f>
        <v>#N/A</v>
      </c>
    </row>
    <row r="61" spans="1:17" ht="13.8" hidden="1">
      <c r="A61" s="477" t="str">
        <f>IF($J$17=$A$147,"Administração Central da empresa ou consultoria - overhead","Seguro e Garantia")</f>
        <v>Administração Central da empresa ou consultoria - overhead</v>
      </c>
      <c r="B61" s="477"/>
      <c r="C61" s="477"/>
      <c r="D61" s="477"/>
      <c r="E61" s="477"/>
      <c r="F61" s="477"/>
      <c r="G61" s="477"/>
      <c r="H61" s="477"/>
      <c r="I61" s="191" t="str">
        <f>IF($J56=$A$147,"K2","SG")</f>
        <v>K2</v>
      </c>
      <c r="J61" s="219"/>
      <c r="K61" s="220" t="str">
        <f t="shared" ref="K61:K65" si="1">IF(AND($U$55&lt;&gt;"",$U$58="",I61&lt;&gt;"",J61=""),"◄","")</f>
        <v/>
      </c>
      <c r="L61" s="501" t="str">
        <f t="shared" ref="L61:L67" si="2">IFERROR(IF(K61="◄","FALTA PREENCHER",IF(AND(OR(J61&gt;=O61,O61="-"),OR(J61&lt;=Q61,Q61="-")),"OK","FORA DO INTERVALO")),"-")</f>
        <v>-</v>
      </c>
      <c r="M61" s="501"/>
      <c r="N61" s="501"/>
      <c r="O61" s="192" t="e">
        <f>VLOOKUP(CONCATENATE(A56,"-",I61),$C$2:$G$137,3,FALSE)</f>
        <v>#N/A</v>
      </c>
      <c r="P61" s="192" t="e">
        <f>VLOOKUP(CONCATENATE(A56,"-",I61),$C$2:$G$137,4,FALSE)</f>
        <v>#N/A</v>
      </c>
      <c r="Q61" s="192" t="e">
        <f>VLOOKUP(CONCATENATE(A56,"-",I61),$C$2:$G$137,5,FALSE)</f>
        <v>#N/A</v>
      </c>
    </row>
    <row r="62" spans="1:17" ht="13.8" hidden="1">
      <c r="A62" s="477" t="s">
        <v>219</v>
      </c>
      <c r="B62" s="477"/>
      <c r="C62" s="477"/>
      <c r="D62" s="477"/>
      <c r="E62" s="477"/>
      <c r="F62" s="477"/>
      <c r="G62" s="477"/>
      <c r="H62" s="477"/>
      <c r="I62" s="191" t="str">
        <f>IF($J56=$A$147,"","R")</f>
        <v/>
      </c>
      <c r="J62" s="219"/>
      <c r="K62" s="220" t="str">
        <f t="shared" si="1"/>
        <v/>
      </c>
      <c r="L62" s="501" t="str">
        <f t="shared" si="2"/>
        <v>-</v>
      </c>
      <c r="M62" s="501"/>
      <c r="N62" s="501"/>
      <c r="O62" s="192" t="e">
        <f>VLOOKUP(CONCATENATE(A56,"-",I62),$C$2:$G$137,3,FALSE)</f>
        <v>#N/A</v>
      </c>
      <c r="P62" s="192" t="e">
        <f>VLOOKUP(CONCATENATE(A56,"-",I62),$C$2:$G$137,4,FALSE)</f>
        <v>#N/A</v>
      </c>
      <c r="Q62" s="192" t="e">
        <f>VLOOKUP(CONCATENATE(A56,"-",I62),$C$2:$G$137,5,FALSE)</f>
        <v>#N/A</v>
      </c>
    </row>
    <row r="63" spans="1:17" ht="13.8" hidden="1">
      <c r="A63" s="477" t="s">
        <v>220</v>
      </c>
      <c r="B63" s="477"/>
      <c r="C63" s="477"/>
      <c r="D63" s="477"/>
      <c r="E63" s="477"/>
      <c r="F63" s="477"/>
      <c r="G63" s="477"/>
      <c r="H63" s="477"/>
      <c r="I63" s="191" t="str">
        <f>IF($J56=$A$147,"","DF")</f>
        <v/>
      </c>
      <c r="J63" s="219"/>
      <c r="K63" s="220" t="str">
        <f t="shared" si="1"/>
        <v/>
      </c>
      <c r="L63" s="501" t="str">
        <f t="shared" si="2"/>
        <v>-</v>
      </c>
      <c r="M63" s="501"/>
      <c r="N63" s="501"/>
      <c r="O63" s="192" t="e">
        <f>VLOOKUP(CONCATENATE(A56,"-",I63),$C$2:$G$137,3,FALSE)</f>
        <v>#N/A</v>
      </c>
      <c r="P63" s="192" t="e">
        <f>VLOOKUP(CONCATENATE(A56,"-",I63),$C$2:$G$137,4,FALSE)</f>
        <v>#N/A</v>
      </c>
      <c r="Q63" s="192" t="e">
        <f>VLOOKUP(CONCATENATE(A56,"-",I63),$C$2:$G$137,5,FALSE)</f>
        <v>#N/A</v>
      </c>
    </row>
    <row r="64" spans="1:17" ht="13.8" hidden="1">
      <c r="A64" s="477" t="str">
        <f>IF($J$17=$A$147,"Margem bruta da empresa de consultoria","Lucro")</f>
        <v>Margem bruta da empresa de consultoria</v>
      </c>
      <c r="B64" s="477"/>
      <c r="C64" s="477"/>
      <c r="D64" s="477"/>
      <c r="E64" s="477"/>
      <c r="F64" s="477"/>
      <c r="G64" s="477"/>
      <c r="H64" s="477"/>
      <c r="I64" s="191" t="str">
        <f>IF($J56=$A$147,"K3","L")</f>
        <v>K3</v>
      </c>
      <c r="J64" s="219"/>
      <c r="K64" s="220" t="str">
        <f t="shared" si="1"/>
        <v/>
      </c>
      <c r="L64" s="501" t="str">
        <f t="shared" si="2"/>
        <v>-</v>
      </c>
      <c r="M64" s="501"/>
      <c r="N64" s="501"/>
      <c r="O64" s="192" t="e">
        <f>VLOOKUP(CONCATENATE(A56,"-",I64),$C$2:$G$137,3,FALSE)</f>
        <v>#N/A</v>
      </c>
      <c r="P64" s="192" t="e">
        <f>VLOOKUP(CONCATENATE(A56,"-",I64),$C$2:$G$137,4,FALSE)</f>
        <v>#N/A</v>
      </c>
      <c r="Q64" s="192" t="e">
        <f>VLOOKUP(CONCATENATE(A56,"-",I64),$C$2:$G$137,5,FALSE)</f>
        <v>#N/A</v>
      </c>
    </row>
    <row r="65" spans="1:17" ht="13.8" hidden="1">
      <c r="A65" s="477" t="s">
        <v>199</v>
      </c>
      <c r="B65" s="477"/>
      <c r="C65" s="477"/>
      <c r="D65" s="477"/>
      <c r="E65" s="477"/>
      <c r="F65" s="477"/>
      <c r="G65" s="477"/>
      <c r="H65" s="477"/>
      <c r="I65" s="191" t="s">
        <v>200</v>
      </c>
      <c r="J65" s="219"/>
      <c r="K65" s="220" t="str">
        <f t="shared" si="1"/>
        <v/>
      </c>
      <c r="L65" s="501" t="str">
        <f t="shared" si="2"/>
        <v>OK</v>
      </c>
      <c r="M65" s="501"/>
      <c r="N65" s="501"/>
      <c r="O65" s="192" t="str">
        <f>P65</f>
        <v>-</v>
      </c>
      <c r="P65" s="192" t="str">
        <f>IF($J56=$A$146,"-",3.65%)</f>
        <v>-</v>
      </c>
      <c r="Q65" s="192" t="str">
        <f>P65</f>
        <v>-</v>
      </c>
    </row>
    <row r="66" spans="1:17" ht="13.8" hidden="1">
      <c r="A66" s="477" t="s">
        <v>201</v>
      </c>
      <c r="B66" s="477"/>
      <c r="C66" s="477"/>
      <c r="D66" s="477"/>
      <c r="E66" s="477"/>
      <c r="F66" s="477"/>
      <c r="G66" s="477"/>
      <c r="H66" s="477"/>
      <c r="I66" s="191" t="s">
        <v>56</v>
      </c>
      <c r="J66" s="192">
        <f ca="1">IF(AND($J56&lt;&gt;$A$146,COUNTA(OFFSET(J59,1,0,6))&gt;0),$R$11*$R$10,0)</f>
        <v>0</v>
      </c>
      <c r="L66" s="501" t="str">
        <f t="shared" ca="1" si="2"/>
        <v>OK</v>
      </c>
      <c r="M66" s="501"/>
      <c r="N66" s="501"/>
      <c r="O66" s="192">
        <v>0</v>
      </c>
      <c r="P66" s="192">
        <v>2.5000000000000001E-2</v>
      </c>
      <c r="Q66" s="192">
        <v>0.05</v>
      </c>
    </row>
    <row r="67" spans="1:17" ht="13.8" hidden="1">
      <c r="A67" s="477" t="s">
        <v>202</v>
      </c>
      <c r="B67" s="477"/>
      <c r="C67" s="477"/>
      <c r="D67" s="477"/>
      <c r="E67" s="477"/>
      <c r="F67" s="477"/>
      <c r="G67" s="477"/>
      <c r="H67" s="477"/>
      <c r="I67" s="191" t="s">
        <v>89</v>
      </c>
      <c r="J67" s="192">
        <f t="array" aca="1" ref="J67" ca="1">IF(BDI.Opcao&lt;&gt;"Desonerado",0,IF(AND($J56&lt;&gt;$A$146,COUNTA(OFFSET(J59,1,0,6))&gt;0),IF(YEAR(Import.DataBase)&lt;2025,4.5%,IF(YEAR(Import.DataBase)=2025,3.6%,IF(YEAR(Import.DataBase)=2026,2.7%,IF(YEAR(Import.DataBase)=2027,1.8%,0%)))),0%))</f>
        <v>0</v>
      </c>
      <c r="L67" s="501" t="str">
        <f t="shared" ca="1" si="2"/>
        <v>OK</v>
      </c>
      <c r="M67" s="501"/>
      <c r="N67" s="501"/>
      <c r="O67" s="193">
        <f>$S67</f>
        <v>0</v>
      </c>
      <c r="P67" s="193">
        <f>$S67</f>
        <v>0</v>
      </c>
      <c r="Q67" s="193">
        <f>$S67</f>
        <v>0</v>
      </c>
    </row>
    <row r="68" spans="1:17" ht="13.8" hidden="1">
      <c r="A68" s="477" t="s">
        <v>203</v>
      </c>
      <c r="B68" s="477"/>
      <c r="C68" s="477"/>
      <c r="D68" s="477"/>
      <c r="E68" s="477"/>
      <c r="F68" s="477"/>
      <c r="G68" s="477"/>
      <c r="H68" s="477"/>
      <c r="I68" s="194" t="s">
        <v>204</v>
      </c>
      <c r="J68" s="192">
        <f>IF($J56=$A$146,0,ROUND((((1+J60+J61+J62)*(1+J63)*(1+J64)/(1-(J65+J66)))-1),4))</f>
        <v>0</v>
      </c>
      <c r="L68" s="484" t="str">
        <f>IFERROR(IF(AND(OR(J68&gt;=O68,O68="-"),OR(J68&lt;=Q68,Q68="-")),"OK","FORA DO INTERVALO"),IF(J68=0,"OK","Selecione o Tipo de obra"))</f>
        <v>OK</v>
      </c>
      <c r="M68" s="484"/>
      <c r="N68" s="484"/>
      <c r="O68" s="192">
        <f>IF($J56=$A$146,0,VLOOKUP(CONCATENATE($J56,"-",$R68),$C$2:$G$137,3,FALSE))</f>
        <v>0</v>
      </c>
      <c r="P68" s="192">
        <f>IF($J56=$A$146,0,VLOOKUP(CONCATENATE($J56,"-",$R68),$C$2:$G$137,4,FALSE))</f>
        <v>0</v>
      </c>
      <c r="Q68" s="192">
        <f>IF($J56=$A$146,0,VLOOKUP(CONCATENATE($J56,"-",$R68),$C$2:$G$137,5,FALSE))</f>
        <v>0</v>
      </c>
    </row>
    <row r="69" spans="1:17" ht="13.8" hidden="1">
      <c r="A69" s="491" t="s">
        <v>205</v>
      </c>
      <c r="B69" s="491"/>
      <c r="C69" s="491"/>
      <c r="D69" s="491"/>
      <c r="E69" s="491"/>
      <c r="F69" s="491"/>
      <c r="G69" s="491"/>
      <c r="H69" s="491"/>
      <c r="I69" s="195" t="s">
        <v>206</v>
      </c>
      <c r="J69" s="196">
        <f>IF($J56=$A$146,0,ROUND((((1+J60+J61+J62)*(1+J63)*(1+J64)/(1-(J65+J66+J67)))-1),4))</f>
        <v>0</v>
      </c>
    </row>
    <row r="70" spans="1:17" hidden="1">
      <c r="A70" s="185"/>
      <c r="B70" s="185"/>
      <c r="C70" s="185"/>
      <c r="D70" s="185"/>
      <c r="E70" s="185"/>
      <c r="F70" s="185"/>
      <c r="G70" s="185"/>
      <c r="H70" s="185"/>
      <c r="I70" s="185"/>
      <c r="J70" s="185"/>
    </row>
    <row r="71" spans="1:17" ht="15.6" hidden="1">
      <c r="A71" s="200" t="str">
        <f>IF(L68&lt;&gt;"ok","X","")</f>
        <v/>
      </c>
      <c r="B71" s="492" t="str">
        <f>IF(L68&lt;&gt;"ok","Anexo: Relatório Técnico Circunstanciado justificando a adoção do percentual de cada parcela do BDI.","")</f>
        <v/>
      </c>
      <c r="C71" s="492"/>
      <c r="D71" s="492"/>
      <c r="E71" s="492"/>
      <c r="F71" s="492"/>
      <c r="G71" s="492"/>
      <c r="H71" s="492"/>
      <c r="I71" s="492"/>
      <c r="J71" s="492"/>
    </row>
    <row r="72" spans="1:17" hidden="1">
      <c r="A72" s="185"/>
      <c r="B72" s="185"/>
      <c r="C72" s="185"/>
      <c r="D72" s="185"/>
      <c r="E72" s="185"/>
      <c r="F72" s="185"/>
      <c r="G72" s="185"/>
      <c r="H72" s="185"/>
      <c r="I72" s="185"/>
      <c r="J72" s="185"/>
    </row>
    <row r="73" spans="1:17" hidden="1">
      <c r="A73" s="493" t="s">
        <v>207</v>
      </c>
      <c r="B73" s="493"/>
      <c r="C73" s="493"/>
      <c r="D73" s="493"/>
      <c r="E73" s="493"/>
      <c r="F73" s="493"/>
      <c r="G73" s="493"/>
      <c r="H73" s="493"/>
      <c r="I73" s="493"/>
      <c r="J73" s="493"/>
    </row>
    <row r="74" spans="1:17" ht="15.6" hidden="1">
      <c r="A74" s="201"/>
      <c r="B74" s="201"/>
      <c r="C74" s="201"/>
      <c r="D74" s="494" t="s">
        <v>208</v>
      </c>
      <c r="E74" s="496" t="str">
        <f>IF($J56=$A$147,"(1+K1+K2)*(1+K3)","(1+AC + S + R + G)*(1 + DF)*(1+L)")</f>
        <v>(1+K1+K2)*(1+K3)</v>
      </c>
      <c r="F74" s="496"/>
      <c r="G74" s="496"/>
      <c r="H74" s="497" t="s">
        <v>210</v>
      </c>
      <c r="I74" s="201"/>
      <c r="J74" s="201"/>
    </row>
    <row r="75" spans="1:17" ht="15.6" hidden="1">
      <c r="A75" s="201"/>
      <c r="B75" s="201"/>
      <c r="C75" s="201"/>
      <c r="D75" s="494"/>
      <c r="E75" s="499" t="s">
        <v>211</v>
      </c>
      <c r="F75" s="499"/>
      <c r="G75" s="499"/>
      <c r="H75" s="497"/>
      <c r="I75" s="201"/>
      <c r="J75" s="201"/>
    </row>
    <row r="76" spans="1:17" ht="15.6" hidden="1">
      <c r="A76" s="201"/>
      <c r="B76" s="201"/>
      <c r="C76" s="201"/>
      <c r="D76" s="202"/>
      <c r="E76" s="205"/>
      <c r="F76" s="205"/>
      <c r="G76" s="205"/>
      <c r="H76" s="203"/>
      <c r="I76" s="201"/>
      <c r="J76" s="201"/>
    </row>
    <row r="77" spans="1:17" hidden="1">
      <c r="A77" s="485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0%, com a respectiva alíquota de 0%.</v>
      </c>
      <c r="B77" s="485"/>
      <c r="C77" s="485"/>
      <c r="D77" s="485"/>
      <c r="E77" s="485"/>
      <c r="F77" s="485"/>
      <c r="G77" s="485"/>
      <c r="H77" s="485"/>
      <c r="I77" s="485"/>
      <c r="J77" s="485"/>
    </row>
    <row r="78" spans="1:17" hidden="1">
      <c r="A78" s="185"/>
      <c r="B78" s="185"/>
      <c r="C78" s="185"/>
      <c r="D78" s="185"/>
      <c r="E78" s="185"/>
      <c r="F78" s="185"/>
      <c r="G78" s="185"/>
      <c r="H78" s="185"/>
      <c r="I78" s="185"/>
      <c r="J78" s="185"/>
    </row>
    <row r="79" spans="1:17" hidden="1">
      <c r="A79" s="485" t="e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B79" s="485"/>
      <c r="C79" s="485"/>
      <c r="D79" s="485"/>
      <c r="E79" s="485"/>
      <c r="F79" s="485"/>
      <c r="G79" s="485"/>
      <c r="H79" s="485"/>
      <c r="I79" s="485"/>
      <c r="J79" s="485"/>
    </row>
    <row r="80" spans="1:17" hidden="1">
      <c r="A80" s="185"/>
      <c r="B80" s="185"/>
      <c r="C80" s="185"/>
      <c r="D80" s="185"/>
      <c r="E80" s="185"/>
      <c r="F80" s="185"/>
      <c r="G80" s="185"/>
      <c r="H80" s="185"/>
      <c r="I80" s="185"/>
      <c r="J80" s="185"/>
    </row>
    <row r="81" spans="1:12" hidden="1">
      <c r="A81" s="185" t="s">
        <v>31</v>
      </c>
      <c r="B81" s="185"/>
      <c r="C81" s="185"/>
      <c r="D81" s="185"/>
      <c r="E81" s="185"/>
      <c r="F81" s="185"/>
      <c r="G81" s="185"/>
      <c r="H81" s="185"/>
      <c r="I81" s="185"/>
      <c r="J81" s="185"/>
    </row>
    <row r="82" spans="1:12" hidden="1">
      <c r="A82" s="486"/>
      <c r="B82" s="486"/>
      <c r="C82" s="486"/>
      <c r="D82" s="486"/>
      <c r="E82" s="486"/>
      <c r="F82" s="486"/>
      <c r="G82" s="486"/>
      <c r="H82" s="486"/>
      <c r="I82" s="486"/>
      <c r="J82" s="486"/>
    </row>
    <row r="83" spans="1:12" hidden="1">
      <c r="A83" s="185"/>
      <c r="B83" s="185"/>
      <c r="C83" s="185"/>
      <c r="D83" s="185"/>
      <c r="E83" s="185"/>
      <c r="F83" s="185"/>
      <c r="G83" s="185"/>
      <c r="H83" s="185"/>
      <c r="I83" s="185"/>
      <c r="J83" s="185"/>
    </row>
    <row r="84" spans="1:12" hidden="1">
      <c r="A84" s="488" t="str">
        <f>Import.Município</f>
        <v>ARACITABA</v>
      </c>
      <c r="B84" s="488"/>
      <c r="C84" s="488"/>
      <c r="D84" s="488"/>
      <c r="E84" s="185"/>
      <c r="F84" s="185"/>
      <c r="G84" s="504">
        <f>[2]DADOS!$C$25</f>
        <v>45957</v>
      </c>
      <c r="H84" s="504"/>
      <c r="I84" s="504"/>
      <c r="J84" s="504"/>
    </row>
    <row r="85" spans="1:12" hidden="1">
      <c r="A85" s="490" t="s">
        <v>212</v>
      </c>
      <c r="B85" s="490"/>
      <c r="C85" s="490"/>
      <c r="D85" s="490"/>
      <c r="E85" s="185"/>
      <c r="F85" s="208"/>
      <c r="G85" s="209" t="s">
        <v>17</v>
      </c>
      <c r="H85" s="210"/>
      <c r="I85" s="210"/>
      <c r="J85" s="210"/>
    </row>
    <row r="86" spans="1:12" hidden="1">
      <c r="A86" s="185"/>
      <c r="B86" s="185"/>
      <c r="C86" s="185"/>
      <c r="D86" s="185"/>
      <c r="E86" s="185"/>
      <c r="F86" s="185"/>
      <c r="G86" s="185"/>
      <c r="H86" s="185"/>
      <c r="I86" s="185"/>
      <c r="J86" s="185"/>
    </row>
    <row r="87" spans="1:12" ht="13.8" hidden="1">
      <c r="A87" s="502"/>
      <c r="B87" s="502"/>
      <c r="C87" s="502"/>
      <c r="D87" s="502"/>
      <c r="E87" s="211"/>
      <c r="F87" s="185"/>
      <c r="G87" s="185"/>
      <c r="H87" s="185"/>
      <c r="I87" s="185"/>
      <c r="J87" s="185"/>
    </row>
    <row r="88" spans="1:12" hidden="1">
      <c r="A88" s="503" t="s">
        <v>213</v>
      </c>
      <c r="B88" s="503"/>
      <c r="C88" s="503"/>
      <c r="D88" s="503"/>
      <c r="E88" s="185"/>
      <c r="F88" s="185"/>
      <c r="G88" s="185"/>
      <c r="H88" s="185"/>
      <c r="I88" s="185"/>
      <c r="J88" s="185"/>
    </row>
    <row r="89" spans="1:12" ht="13.8" hidden="1">
      <c r="A89" s="212" t="s">
        <v>214</v>
      </c>
      <c r="B89" s="213" t="str">
        <f t="array" ref="B89:B91">Import.RespOrçamento</f>
        <v>PRISCILA CRISTINA DE PAULA NETO</v>
      </c>
      <c r="C89" s="215"/>
      <c r="D89" s="215"/>
      <c r="E89" s="211"/>
      <c r="F89" s="185"/>
      <c r="G89" s="185"/>
      <c r="H89" s="185"/>
      <c r="I89" s="185"/>
      <c r="J89" s="185"/>
    </row>
    <row r="90" spans="1:12" ht="13.8" hidden="1">
      <c r="A90" s="212" t="s">
        <v>215</v>
      </c>
      <c r="B90" s="213" t="str">
        <v>142.702/D</v>
      </c>
      <c r="C90" s="215"/>
      <c r="D90" s="215"/>
      <c r="E90" s="211"/>
      <c r="F90" s="185"/>
      <c r="G90" s="185"/>
      <c r="H90" s="185"/>
      <c r="I90" s="185"/>
      <c r="J90" s="185"/>
    </row>
    <row r="91" spans="1:12" ht="13.8" hidden="1">
      <c r="A91" s="212" t="s">
        <v>216</v>
      </c>
      <c r="B91" s="213" t="str">
        <v>MG20254432279</v>
      </c>
      <c r="C91" s="215"/>
      <c r="D91" s="215"/>
      <c r="E91" s="211"/>
      <c r="F91" s="185"/>
      <c r="G91" s="185"/>
      <c r="H91" s="185"/>
      <c r="I91" s="185"/>
      <c r="J91" s="185"/>
    </row>
    <row r="92" spans="1:12" ht="13.8" hidden="1">
      <c r="A92" s="212"/>
      <c r="B92" s="221"/>
      <c r="C92" s="215"/>
      <c r="D92" s="215"/>
      <c r="E92" s="211"/>
      <c r="F92" s="185"/>
      <c r="G92" s="185"/>
      <c r="H92" s="185"/>
      <c r="I92" s="185"/>
      <c r="J92" s="185"/>
    </row>
    <row r="93" spans="1:12" ht="15.6" hidden="1">
      <c r="A93" s="481" t="s">
        <v>221</v>
      </c>
      <c r="B93" s="481"/>
      <c r="C93" s="481"/>
      <c r="D93" s="481"/>
      <c r="E93" s="481"/>
      <c r="F93" s="481"/>
      <c r="G93" s="481"/>
      <c r="H93" s="481"/>
      <c r="I93" s="481"/>
      <c r="J93" s="481"/>
      <c r="L93" s="216" t="e">
        <f>IF(COUNTIF([2]ORÇAMENTO!$V$15:$V$245,BDI_3.Título)=0,"",IF(OR(Import.BDI.Tipo3="(SELECIONAR)",Import.BDI.Tipo3="",L96&lt;&gt;"",AND($J96&lt;&gt;$A$146,OR(J100="",J101="",AND($J96&lt;&gt;$A$147,OR(J102="",J103="")),J104="",J105=""))),"Falta preencher o BDI 3",""))</f>
        <v>#VALUE!</v>
      </c>
    </row>
    <row r="94" spans="1:12" hidden="1">
      <c r="A94" s="185"/>
      <c r="B94" s="185"/>
      <c r="C94" s="185"/>
      <c r="D94" s="185"/>
      <c r="E94" s="185"/>
      <c r="F94" s="185"/>
      <c r="G94" s="185"/>
      <c r="H94" s="185"/>
      <c r="I94" s="185"/>
      <c r="J94" s="185"/>
    </row>
    <row r="95" spans="1:12" hidden="1">
      <c r="A95" s="466" t="s">
        <v>184</v>
      </c>
      <c r="B95" s="466"/>
      <c r="C95" s="466"/>
      <c r="D95" s="466"/>
      <c r="E95" s="466"/>
      <c r="F95" s="466"/>
      <c r="G95" s="466"/>
      <c r="H95" s="466"/>
      <c r="I95" s="466"/>
      <c r="J95" s="466"/>
    </row>
    <row r="96" spans="1:12" ht="13.8" hidden="1">
      <c r="A96" s="482" t="s">
        <v>218</v>
      </c>
      <c r="B96" s="482"/>
      <c r="C96" s="482"/>
      <c r="D96" s="482"/>
      <c r="E96" s="482"/>
      <c r="F96" s="482"/>
      <c r="G96" s="482"/>
      <c r="H96" s="482"/>
      <c r="I96" s="482"/>
      <c r="J96" s="482"/>
      <c r="K96" s="217" t="e">
        <f>IF(L96="","","◄")</f>
        <v>#VALUE!</v>
      </c>
      <c r="L96" s="218" t="e">
        <f>IF(AND(OR(J108&gt;0,COUNTIF([2]ORÇAMENTO!$V$15:$V$245,BDI_3.Título)&gt;0),OR(Import.BDI.Tipo3="(SELECIONAR)",Import.BDI.Tipo3="")),"Selecione o Tipo de obra","")</f>
        <v>#VALUE!</v>
      </c>
    </row>
    <row r="97" spans="1:17" hidden="1">
      <c r="A97" s="185"/>
      <c r="B97" s="185"/>
      <c r="C97" s="185"/>
      <c r="D97" s="185"/>
      <c r="E97" s="185"/>
      <c r="F97" s="185"/>
      <c r="G97" s="185"/>
      <c r="H97" s="185"/>
      <c r="I97" s="185"/>
      <c r="J97" s="185"/>
    </row>
    <row r="98" spans="1:17" hidden="1">
      <c r="A98" s="483" t="s">
        <v>186</v>
      </c>
      <c r="B98" s="483"/>
      <c r="C98" s="483"/>
      <c r="D98" s="483"/>
      <c r="E98" s="483"/>
      <c r="F98" s="483"/>
      <c r="G98" s="483"/>
      <c r="H98" s="483"/>
      <c r="I98" s="483" t="s">
        <v>187</v>
      </c>
      <c r="J98" s="484" t="s">
        <v>188</v>
      </c>
      <c r="L98" s="484" t="s">
        <v>189</v>
      </c>
      <c r="M98" s="484"/>
      <c r="N98" s="484"/>
      <c r="O98" s="500" t="s">
        <v>190</v>
      </c>
      <c r="P98" s="500" t="s">
        <v>191</v>
      </c>
      <c r="Q98" s="500" t="s">
        <v>192</v>
      </c>
    </row>
    <row r="99" spans="1:17" hidden="1">
      <c r="A99" s="483"/>
      <c r="B99" s="483"/>
      <c r="C99" s="483"/>
      <c r="D99" s="483"/>
      <c r="E99" s="483"/>
      <c r="F99" s="483"/>
      <c r="G99" s="483"/>
      <c r="H99" s="483"/>
      <c r="I99" s="483"/>
      <c r="J99" s="484"/>
      <c r="L99" s="484"/>
      <c r="M99" s="484"/>
      <c r="N99" s="484"/>
      <c r="O99" s="500"/>
      <c r="P99" s="500"/>
      <c r="Q99" s="500"/>
    </row>
    <row r="100" spans="1:17" ht="13.8" hidden="1">
      <c r="A100" s="477" t="str">
        <f>IF($J$17=$A$147,"Encargos Sociais incidentes sobre a mão de obra","Administração Central")</f>
        <v>Encargos Sociais incidentes sobre a mão de obra</v>
      </c>
      <c r="B100" s="477"/>
      <c r="C100" s="477"/>
      <c r="D100" s="477"/>
      <c r="E100" s="477"/>
      <c r="F100" s="477"/>
      <c r="G100" s="477"/>
      <c r="H100" s="477"/>
      <c r="I100" s="191" t="str">
        <f>IF($J96=$A$147,"K1","AC")</f>
        <v>K1</v>
      </c>
      <c r="J100" s="219"/>
      <c r="K100" s="220" t="str">
        <f>IF(AND($U$95&lt;&gt;"",$U$98="",I100&lt;&gt;"",J100=""),"◄","")</f>
        <v/>
      </c>
      <c r="L100" s="501" t="str">
        <f>IFERROR(IF(K100="◄","FALTA PREENCHER",IF(AND(OR(J100&gt;=O100,O100="-"),OR(J100&lt;=Q100,Q100="-")),"OK","FORA DO INTERVALO")),"-")</f>
        <v>-</v>
      </c>
      <c r="M100" s="501"/>
      <c r="N100" s="501"/>
      <c r="O100" s="192" t="e">
        <f>VLOOKUP(CONCATENATE(A96,"-",I100),$C$2:$G$137,3,FALSE)</f>
        <v>#N/A</v>
      </c>
      <c r="P100" s="192" t="e">
        <f>VLOOKUP(CONCATENATE(A96,"-",I100),$C$2:$G$137,4,FALSE)</f>
        <v>#N/A</v>
      </c>
      <c r="Q100" s="192" t="e">
        <f>VLOOKUP(CONCATENATE(A96,"-",I100),$C$2:$G$137,5,FALSE)</f>
        <v>#N/A</v>
      </c>
    </row>
    <row r="101" spans="1:17" ht="13.8" hidden="1">
      <c r="A101" s="477" t="str">
        <f>IF($J$17=$A$147,"Administração Central da empresa ou consultoria - overhead","Seguro e Garantia")</f>
        <v>Administração Central da empresa ou consultoria - overhead</v>
      </c>
      <c r="B101" s="477"/>
      <c r="C101" s="477"/>
      <c r="D101" s="477"/>
      <c r="E101" s="477"/>
      <c r="F101" s="477"/>
      <c r="G101" s="477"/>
      <c r="H101" s="477"/>
      <c r="I101" s="191" t="str">
        <f>IF($J96=$A$147,"K2","SG")</f>
        <v>K2</v>
      </c>
      <c r="J101" s="219"/>
      <c r="K101" s="220" t="str">
        <f t="shared" ref="K101:K105" si="3">IF(AND($U$95&lt;&gt;"",$U$98="",I101&lt;&gt;"",J101=""),"◄","")</f>
        <v/>
      </c>
      <c r="L101" s="501" t="str">
        <f t="shared" ref="L101:L107" si="4">IFERROR(IF(K101="◄","FALTA PREENCHER",IF(AND(OR(J101&gt;=O101,O101="-"),OR(J101&lt;=Q101,Q101="-")),"OK","FORA DO INTERVALO")),"-")</f>
        <v>-</v>
      </c>
      <c r="M101" s="501"/>
      <c r="N101" s="501"/>
      <c r="O101" s="192" t="e">
        <f>VLOOKUP(CONCATENATE(A96,"-",I101),$C$2:$G$137,3,FALSE)</f>
        <v>#N/A</v>
      </c>
      <c r="P101" s="192" t="e">
        <f>VLOOKUP(CONCATENATE(A96,"-",I101),$C$2:$G$137,4,FALSE)</f>
        <v>#N/A</v>
      </c>
      <c r="Q101" s="192" t="e">
        <f>VLOOKUP(CONCATENATE(A96,"-",I101),$C$2:$G$137,5,FALSE)</f>
        <v>#N/A</v>
      </c>
    </row>
    <row r="102" spans="1:17" ht="13.8" hidden="1">
      <c r="A102" s="477" t="s">
        <v>219</v>
      </c>
      <c r="B102" s="477"/>
      <c r="C102" s="477"/>
      <c r="D102" s="477"/>
      <c r="E102" s="477"/>
      <c r="F102" s="477"/>
      <c r="G102" s="477"/>
      <c r="H102" s="477"/>
      <c r="I102" s="191" t="str">
        <f>IF($J96=$A$147,"","R")</f>
        <v/>
      </c>
      <c r="J102" s="219"/>
      <c r="K102" s="220" t="str">
        <f t="shared" si="3"/>
        <v/>
      </c>
      <c r="L102" s="501" t="str">
        <f t="shared" si="4"/>
        <v>-</v>
      </c>
      <c r="M102" s="501"/>
      <c r="N102" s="501"/>
      <c r="O102" s="192" t="e">
        <f>VLOOKUP(CONCATENATE(A96,"-",I102),$C$2:$G$137,3,FALSE)</f>
        <v>#N/A</v>
      </c>
      <c r="P102" s="192" t="e">
        <f>VLOOKUP(CONCATENATE(A96,"-",I102),$C$2:$G$137,4,FALSE)</f>
        <v>#N/A</v>
      </c>
      <c r="Q102" s="192" t="e">
        <f>VLOOKUP(CONCATENATE(A96,"-",I102),$C$2:$G$137,5,FALSE)</f>
        <v>#N/A</v>
      </c>
    </row>
    <row r="103" spans="1:17" ht="13.8" hidden="1">
      <c r="A103" s="477" t="s">
        <v>220</v>
      </c>
      <c r="B103" s="477"/>
      <c r="C103" s="477"/>
      <c r="D103" s="477"/>
      <c r="E103" s="477"/>
      <c r="F103" s="477"/>
      <c r="G103" s="477"/>
      <c r="H103" s="477"/>
      <c r="I103" s="191" t="str">
        <f>IF($J96=$A$147,"","DF")</f>
        <v/>
      </c>
      <c r="J103" s="219"/>
      <c r="K103" s="220" t="str">
        <f t="shared" si="3"/>
        <v/>
      </c>
      <c r="L103" s="501" t="str">
        <f t="shared" si="4"/>
        <v>-</v>
      </c>
      <c r="M103" s="501"/>
      <c r="N103" s="501"/>
      <c r="O103" s="192" t="e">
        <f>VLOOKUP(CONCATENATE(A96,"-",I103),$C$2:$G$137,3,FALSE)</f>
        <v>#N/A</v>
      </c>
      <c r="P103" s="192" t="e">
        <f>VLOOKUP(CONCATENATE(A96,"-",I103),$C$2:$G$137,4,FALSE)</f>
        <v>#N/A</v>
      </c>
      <c r="Q103" s="192" t="e">
        <f>VLOOKUP(CONCATENATE(A96,"-",I103),$C$2:$G$137,5,FALSE)</f>
        <v>#N/A</v>
      </c>
    </row>
    <row r="104" spans="1:17" ht="13.8" hidden="1">
      <c r="A104" s="477" t="str">
        <f>IF($J$17=$A$147,"Margem bruta da empresa de consultoria","Lucro")</f>
        <v>Margem bruta da empresa de consultoria</v>
      </c>
      <c r="B104" s="477"/>
      <c r="C104" s="477"/>
      <c r="D104" s="477"/>
      <c r="E104" s="477"/>
      <c r="F104" s="477"/>
      <c r="G104" s="477"/>
      <c r="H104" s="477"/>
      <c r="I104" s="191" t="str">
        <f>IF($J96=$A$147,"K3","L")</f>
        <v>K3</v>
      </c>
      <c r="J104" s="219"/>
      <c r="K104" s="220" t="str">
        <f t="shared" si="3"/>
        <v/>
      </c>
      <c r="L104" s="501" t="str">
        <f t="shared" si="4"/>
        <v>-</v>
      </c>
      <c r="M104" s="501"/>
      <c r="N104" s="501"/>
      <c r="O104" s="192" t="e">
        <f>VLOOKUP(CONCATENATE(A96,"-",I104),$C$2:$G$137,3,FALSE)</f>
        <v>#N/A</v>
      </c>
      <c r="P104" s="192" t="e">
        <f>VLOOKUP(CONCATENATE(A96,"-",I104),$C$2:$G$137,4,FALSE)</f>
        <v>#N/A</v>
      </c>
      <c r="Q104" s="192" t="e">
        <f>VLOOKUP(CONCATENATE(A96,"-",I104),$C$2:$G$137,5,FALSE)</f>
        <v>#N/A</v>
      </c>
    </row>
    <row r="105" spans="1:17" ht="13.8" hidden="1">
      <c r="A105" s="477" t="s">
        <v>199</v>
      </c>
      <c r="B105" s="477"/>
      <c r="C105" s="477"/>
      <c r="D105" s="477"/>
      <c r="E105" s="477"/>
      <c r="F105" s="477"/>
      <c r="G105" s="477"/>
      <c r="H105" s="477"/>
      <c r="I105" s="191" t="s">
        <v>200</v>
      </c>
      <c r="J105" s="219"/>
      <c r="K105" s="220" t="str">
        <f t="shared" si="3"/>
        <v/>
      </c>
      <c r="L105" s="501" t="str">
        <f t="shared" si="4"/>
        <v>OK</v>
      </c>
      <c r="M105" s="501"/>
      <c r="N105" s="501"/>
      <c r="O105" s="192" t="str">
        <f>P105</f>
        <v>-</v>
      </c>
      <c r="P105" s="192" t="str">
        <f>IF($J96=$A$146,"-",3.65%)</f>
        <v>-</v>
      </c>
      <c r="Q105" s="192" t="str">
        <f>P105</f>
        <v>-</v>
      </c>
    </row>
    <row r="106" spans="1:17" ht="13.8" hidden="1">
      <c r="A106" s="477" t="s">
        <v>201</v>
      </c>
      <c r="B106" s="477"/>
      <c r="C106" s="477"/>
      <c r="D106" s="477"/>
      <c r="E106" s="477"/>
      <c r="F106" s="477"/>
      <c r="G106" s="477"/>
      <c r="H106" s="477"/>
      <c r="I106" s="191" t="s">
        <v>56</v>
      </c>
      <c r="J106" s="192">
        <f ca="1">IF(AND($J96&lt;&gt;$A$146,COUNTA(OFFSET(J99,1,0,6))&gt;0),$R$11*$R$10,0)</f>
        <v>0</v>
      </c>
      <c r="L106" s="501" t="str">
        <f t="shared" ca="1" si="4"/>
        <v>OK</v>
      </c>
      <c r="M106" s="501"/>
      <c r="N106" s="501"/>
      <c r="O106" s="192">
        <v>0</v>
      </c>
      <c r="P106" s="192">
        <v>2.5000000000000001E-2</v>
      </c>
      <c r="Q106" s="192">
        <v>0.05</v>
      </c>
    </row>
    <row r="107" spans="1:17" ht="13.8" hidden="1">
      <c r="A107" s="477" t="s">
        <v>202</v>
      </c>
      <c r="B107" s="477"/>
      <c r="C107" s="477"/>
      <c r="D107" s="477"/>
      <c r="E107" s="477"/>
      <c r="F107" s="477"/>
      <c r="G107" s="477"/>
      <c r="H107" s="477"/>
      <c r="I107" s="191" t="s">
        <v>89</v>
      </c>
      <c r="J107" s="192">
        <f t="array" aca="1" ref="J107" ca="1">IF(BDI.Opcao&lt;&gt;"Desonerado",0,IF(AND($J96&lt;&gt;$A$146,COUNTA(OFFSET(J99,1,0,6))&gt;0),IF(YEAR(Import.DataBase)&lt;2025,4.5%,IF(YEAR(Import.DataBase)=2025,3.6%,IF(YEAR(Import.DataBase)=2026,2.7%,IF(YEAR(Import.DataBase)=2027,1.8%,0%)))),0%))</f>
        <v>0</v>
      </c>
      <c r="L107" s="501" t="str">
        <f t="shared" ca="1" si="4"/>
        <v>OK</v>
      </c>
      <c r="M107" s="501"/>
      <c r="N107" s="501"/>
      <c r="O107" s="193">
        <f>$S107</f>
        <v>0</v>
      </c>
      <c r="P107" s="193">
        <f>$S107</f>
        <v>0</v>
      </c>
      <c r="Q107" s="193">
        <f>$S107</f>
        <v>0</v>
      </c>
    </row>
    <row r="108" spans="1:17" ht="13.8" hidden="1">
      <c r="A108" s="477" t="s">
        <v>203</v>
      </c>
      <c r="B108" s="477"/>
      <c r="C108" s="477"/>
      <c r="D108" s="477"/>
      <c r="E108" s="477"/>
      <c r="F108" s="477"/>
      <c r="G108" s="477"/>
      <c r="H108" s="477"/>
      <c r="I108" s="194" t="s">
        <v>204</v>
      </c>
      <c r="J108" s="192">
        <f>IF($J96=$A$146,0,ROUND((((1+J100+J101+J102)*(1+J103)*(1+J104)/(1-(J105+J106)))-1),4))</f>
        <v>0</v>
      </c>
      <c r="L108" s="484" t="str">
        <f>IFERROR(IF(AND(OR(J108&gt;=O108,O108="-"),OR(J108&lt;=Q108,Q108="-")),"OK","FORA DO INTERVALO"),IF(J108=0,"OK","Selecione o Tipo de obra"))</f>
        <v>OK</v>
      </c>
      <c r="M108" s="484"/>
      <c r="N108" s="484"/>
      <c r="O108" s="192">
        <f>IF($J96=$A$146,0,VLOOKUP(CONCATENATE($J96,"-",$R108),$C$2:$G$137,3,FALSE))</f>
        <v>0</v>
      </c>
      <c r="P108" s="192">
        <f>IF($J96=$A$146,0,VLOOKUP(CONCATENATE($J96,"-",$R108),$C$2:$G$137,4,FALSE))</f>
        <v>0</v>
      </c>
      <c r="Q108" s="192">
        <f>IF($J96=$A$146,0,VLOOKUP(CONCATENATE($J96,"-",$R108),$C$2:$G$137,5,FALSE))</f>
        <v>0</v>
      </c>
    </row>
    <row r="109" spans="1:17" ht="13.8" hidden="1">
      <c r="A109" s="491" t="s">
        <v>205</v>
      </c>
      <c r="B109" s="491"/>
      <c r="C109" s="491"/>
      <c r="D109" s="491"/>
      <c r="E109" s="491"/>
      <c r="F109" s="491"/>
      <c r="G109" s="491"/>
      <c r="H109" s="491"/>
      <c r="I109" s="195" t="s">
        <v>206</v>
      </c>
      <c r="J109" s="196">
        <f>IF($J96=$A$146,0,ROUND((((1+J100+J101+J102)*(1+J103)*(1+J104)/(1-(J105+J106+J107)))-1),4))</f>
        <v>0</v>
      </c>
    </row>
    <row r="110" spans="1:17" hidden="1">
      <c r="A110" s="185"/>
      <c r="B110" s="185"/>
      <c r="C110" s="185"/>
      <c r="D110" s="185"/>
      <c r="E110" s="185"/>
      <c r="F110" s="185"/>
      <c r="G110" s="185"/>
      <c r="H110" s="185"/>
      <c r="I110" s="185"/>
      <c r="J110" s="185"/>
    </row>
    <row r="111" spans="1:17" ht="15.6" hidden="1">
      <c r="A111" s="200" t="str">
        <f>IF(L108&lt;&gt;"ok","X","")</f>
        <v/>
      </c>
      <c r="B111" s="492" t="str">
        <f>IF(L108&lt;&gt;"ok","Anexo: Relatório Técnico Circunstanciado justificando a adoção do percentual de cada parcela do BDI.","")</f>
        <v/>
      </c>
      <c r="C111" s="492"/>
      <c r="D111" s="492"/>
      <c r="E111" s="492"/>
      <c r="F111" s="492"/>
      <c r="G111" s="492"/>
      <c r="H111" s="492"/>
      <c r="I111" s="492"/>
      <c r="J111" s="492"/>
    </row>
    <row r="112" spans="1:17" hidden="1">
      <c r="A112" s="185"/>
      <c r="B112" s="185"/>
      <c r="C112" s="185"/>
      <c r="D112" s="185"/>
      <c r="E112" s="185"/>
      <c r="F112" s="185"/>
      <c r="G112" s="185"/>
      <c r="H112" s="185"/>
      <c r="I112" s="185"/>
      <c r="J112" s="185"/>
    </row>
    <row r="113" spans="1:10" hidden="1">
      <c r="A113" s="493" t="s">
        <v>207</v>
      </c>
      <c r="B113" s="493"/>
      <c r="C113" s="493"/>
      <c r="D113" s="493"/>
      <c r="E113" s="493"/>
      <c r="F113" s="493"/>
      <c r="G113" s="493"/>
      <c r="H113" s="493"/>
      <c r="I113" s="493"/>
      <c r="J113" s="493"/>
    </row>
    <row r="114" spans="1:10" ht="15.6" hidden="1">
      <c r="A114" s="201"/>
      <c r="B114" s="201"/>
      <c r="C114" s="201"/>
      <c r="D114" s="494" t="s">
        <v>208</v>
      </c>
      <c r="E114" s="496" t="str">
        <f>IF($J96=$A$147,"(1+K1+K2)*(1+K3)","(1+AC + S + R + G)*(1 + DF)*(1+L)")</f>
        <v>(1+K1+K2)*(1+K3)</v>
      </c>
      <c r="F114" s="496"/>
      <c r="G114" s="496"/>
      <c r="H114" s="497" t="s">
        <v>210</v>
      </c>
      <c r="I114" s="201"/>
      <c r="J114" s="201"/>
    </row>
    <row r="115" spans="1:10" ht="15.6" hidden="1">
      <c r="A115" s="201"/>
      <c r="B115" s="201"/>
      <c r="C115" s="201"/>
      <c r="D115" s="494"/>
      <c r="E115" s="499" t="s">
        <v>211</v>
      </c>
      <c r="F115" s="499"/>
      <c r="G115" s="499"/>
      <c r="H115" s="497"/>
      <c r="I115" s="201"/>
      <c r="J115" s="201"/>
    </row>
    <row r="116" spans="1:10" ht="15.6" hidden="1">
      <c r="A116" s="201"/>
      <c r="B116" s="201"/>
      <c r="C116" s="201"/>
      <c r="D116" s="202"/>
      <c r="E116" s="205"/>
      <c r="F116" s="205"/>
      <c r="G116" s="205"/>
      <c r="H116" s="203"/>
      <c r="I116" s="201"/>
      <c r="J116" s="201"/>
    </row>
    <row r="117" spans="1:10" hidden="1">
      <c r="A117" s="485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0%, com a respectiva alíquota de 0%.</v>
      </c>
      <c r="B117" s="485"/>
      <c r="C117" s="485"/>
      <c r="D117" s="485"/>
      <c r="E117" s="485"/>
      <c r="F117" s="485"/>
      <c r="G117" s="485"/>
      <c r="H117" s="485"/>
      <c r="I117" s="485"/>
      <c r="J117" s="485"/>
    </row>
    <row r="118" spans="1:10" hidden="1">
      <c r="A118" s="185"/>
      <c r="B118" s="185"/>
      <c r="C118" s="185"/>
      <c r="D118" s="185"/>
      <c r="E118" s="185"/>
      <c r="F118" s="185"/>
      <c r="G118" s="185"/>
      <c r="H118" s="185"/>
      <c r="I118" s="185"/>
      <c r="J118" s="185"/>
    </row>
    <row r="119" spans="1:10" hidden="1">
      <c r="A119" s="485" t="e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B119" s="485"/>
      <c r="C119" s="485"/>
      <c r="D119" s="485"/>
      <c r="E119" s="485"/>
      <c r="F119" s="485"/>
      <c r="G119" s="485"/>
      <c r="H119" s="485"/>
      <c r="I119" s="485"/>
      <c r="J119" s="485"/>
    </row>
    <row r="120" spans="1:10" hidden="1">
      <c r="A120" s="185"/>
      <c r="B120" s="185"/>
      <c r="C120" s="185"/>
      <c r="D120" s="185"/>
      <c r="E120" s="185"/>
      <c r="F120" s="185"/>
      <c r="G120" s="185"/>
      <c r="H120" s="185"/>
      <c r="I120" s="185"/>
      <c r="J120" s="185"/>
    </row>
    <row r="121" spans="1:10" hidden="1">
      <c r="A121" s="185" t="s">
        <v>31</v>
      </c>
      <c r="B121" s="185"/>
      <c r="C121" s="185"/>
      <c r="D121" s="185"/>
      <c r="E121" s="185"/>
      <c r="F121" s="185"/>
      <c r="G121" s="185"/>
      <c r="H121" s="185"/>
      <c r="I121" s="185"/>
      <c r="J121" s="185"/>
    </row>
    <row r="122" spans="1:10" hidden="1">
      <c r="A122" s="486"/>
      <c r="B122" s="486"/>
      <c r="C122" s="486"/>
      <c r="D122" s="486"/>
      <c r="E122" s="486"/>
      <c r="F122" s="486"/>
      <c r="G122" s="486"/>
      <c r="H122" s="486"/>
      <c r="I122" s="486"/>
      <c r="J122" s="486"/>
    </row>
    <row r="123" spans="1:10" hidden="1">
      <c r="A123" s="185"/>
      <c r="B123" s="185"/>
      <c r="C123" s="185"/>
      <c r="D123" s="185"/>
      <c r="E123" s="185"/>
      <c r="F123" s="185"/>
      <c r="G123" s="185"/>
      <c r="H123" s="185"/>
      <c r="I123" s="185"/>
      <c r="J123" s="185"/>
    </row>
    <row r="124" spans="1:10" hidden="1">
      <c r="A124" s="488" t="str">
        <f>Import.Município</f>
        <v>ARACITABA</v>
      </c>
      <c r="B124" s="488"/>
      <c r="C124" s="488"/>
      <c r="D124" s="488"/>
      <c r="E124" s="185"/>
      <c r="F124" s="185"/>
      <c r="G124" s="504">
        <f>[2]DADOS!$C$25</f>
        <v>45957</v>
      </c>
      <c r="H124" s="504"/>
      <c r="I124" s="504"/>
      <c r="J124" s="504"/>
    </row>
    <row r="125" spans="1:10" hidden="1">
      <c r="A125" s="490" t="s">
        <v>212</v>
      </c>
      <c r="B125" s="490"/>
      <c r="C125" s="490"/>
      <c r="D125" s="490"/>
      <c r="E125" s="185"/>
      <c r="F125" s="208"/>
      <c r="G125" s="209" t="s">
        <v>17</v>
      </c>
      <c r="H125" s="210"/>
      <c r="I125" s="210"/>
      <c r="J125" s="210"/>
    </row>
    <row r="126" spans="1:10" hidden="1">
      <c r="A126" s="185"/>
      <c r="B126" s="185"/>
      <c r="C126" s="185"/>
      <c r="D126" s="185"/>
      <c r="E126" s="185"/>
      <c r="F126" s="185"/>
      <c r="G126" s="185"/>
      <c r="H126" s="185"/>
      <c r="I126" s="185"/>
      <c r="J126" s="185"/>
    </row>
    <row r="127" spans="1:10" ht="13.8" hidden="1">
      <c r="A127" s="502"/>
      <c r="B127" s="502"/>
      <c r="C127" s="502"/>
      <c r="D127" s="502"/>
      <c r="E127" s="211"/>
      <c r="F127" s="185"/>
      <c r="G127" s="185"/>
      <c r="H127" s="185"/>
      <c r="I127" s="185"/>
      <c r="J127" s="185"/>
    </row>
    <row r="128" spans="1:10" hidden="1">
      <c r="A128" s="503" t="s">
        <v>213</v>
      </c>
      <c r="B128" s="503"/>
      <c r="C128" s="503"/>
      <c r="D128" s="503"/>
      <c r="E128" s="185"/>
      <c r="F128" s="185"/>
      <c r="G128" s="185"/>
      <c r="H128" s="185"/>
      <c r="I128" s="185"/>
      <c r="J128" s="185"/>
    </row>
    <row r="129" spans="1:10" ht="13.8" hidden="1">
      <c r="A129" s="212" t="s">
        <v>214</v>
      </c>
      <c r="B129" s="213" t="str">
        <f t="array" ref="B129:B131">Import.RespOrçamento</f>
        <v>PRISCILA CRISTINA DE PAULA NETO</v>
      </c>
      <c r="C129" s="215"/>
      <c r="D129" s="215"/>
      <c r="E129" s="211"/>
      <c r="F129" s="185"/>
      <c r="G129" s="185"/>
      <c r="H129" s="185"/>
      <c r="I129" s="185"/>
      <c r="J129" s="185"/>
    </row>
    <row r="130" spans="1:10" ht="13.8" hidden="1">
      <c r="A130" s="212" t="s">
        <v>215</v>
      </c>
      <c r="B130" s="213" t="str">
        <v>142.702/D</v>
      </c>
      <c r="C130" s="215"/>
      <c r="D130" s="215"/>
      <c r="E130" s="211"/>
      <c r="F130" s="185"/>
      <c r="G130" s="185"/>
      <c r="H130" s="185"/>
      <c r="I130" s="185"/>
      <c r="J130" s="185"/>
    </row>
    <row r="131" spans="1:10" ht="13.8" hidden="1">
      <c r="A131" s="212" t="s">
        <v>216</v>
      </c>
      <c r="B131" s="213" t="str">
        <v>MG20254432279</v>
      </c>
      <c r="C131" s="215"/>
      <c r="D131" s="215"/>
      <c r="E131" s="211"/>
      <c r="F131" s="185"/>
      <c r="G131" s="185"/>
      <c r="H131" s="185"/>
      <c r="I131" s="185"/>
      <c r="J131" s="185"/>
    </row>
  </sheetData>
  <mergeCells count="141">
    <mergeCell ref="A128:D128"/>
    <mergeCell ref="A119:J119"/>
    <mergeCell ref="A122:J122"/>
    <mergeCell ref="A124:D124"/>
    <mergeCell ref="G124:J124"/>
    <mergeCell ref="A125:D125"/>
    <mergeCell ref="A127:D127"/>
    <mergeCell ref="A113:J113"/>
    <mergeCell ref="D114:D115"/>
    <mergeCell ref="E114:G114"/>
    <mergeCell ref="H114:H115"/>
    <mergeCell ref="E115:G115"/>
    <mergeCell ref="A117:J117"/>
    <mergeCell ref="A107:H107"/>
    <mergeCell ref="L107:N107"/>
    <mergeCell ref="A108:H108"/>
    <mergeCell ref="L108:N108"/>
    <mergeCell ref="A109:H109"/>
    <mergeCell ref="B111:J111"/>
    <mergeCell ref="A104:H104"/>
    <mergeCell ref="L104:N104"/>
    <mergeCell ref="A105:H105"/>
    <mergeCell ref="L105:N105"/>
    <mergeCell ref="A106:H106"/>
    <mergeCell ref="L106:N106"/>
    <mergeCell ref="A101:H101"/>
    <mergeCell ref="L101:N101"/>
    <mergeCell ref="A102:H102"/>
    <mergeCell ref="L102:N102"/>
    <mergeCell ref="A103:H103"/>
    <mergeCell ref="L103:N103"/>
    <mergeCell ref="L98:N99"/>
    <mergeCell ref="O98:O99"/>
    <mergeCell ref="P98:P99"/>
    <mergeCell ref="Q98:Q99"/>
    <mergeCell ref="A100:H100"/>
    <mergeCell ref="L100:N100"/>
    <mergeCell ref="A88:D88"/>
    <mergeCell ref="A93:J93"/>
    <mergeCell ref="A95:J95"/>
    <mergeCell ref="A96:J96"/>
    <mergeCell ref="A98:H99"/>
    <mergeCell ref="I98:I99"/>
    <mergeCell ref="J98:J99"/>
    <mergeCell ref="A79:J79"/>
    <mergeCell ref="A82:J82"/>
    <mergeCell ref="A84:D84"/>
    <mergeCell ref="G84:J84"/>
    <mergeCell ref="A85:D85"/>
    <mergeCell ref="A87:D87"/>
    <mergeCell ref="A73:J73"/>
    <mergeCell ref="D74:D75"/>
    <mergeCell ref="E74:G74"/>
    <mergeCell ref="H74:H75"/>
    <mergeCell ref="E75:G75"/>
    <mergeCell ref="A77:J77"/>
    <mergeCell ref="A67:H67"/>
    <mergeCell ref="L67:N67"/>
    <mergeCell ref="A68:H68"/>
    <mergeCell ref="L68:N68"/>
    <mergeCell ref="A69:H69"/>
    <mergeCell ref="B71:J71"/>
    <mergeCell ref="A64:H64"/>
    <mergeCell ref="L64:N64"/>
    <mergeCell ref="A65:H65"/>
    <mergeCell ref="L65:N65"/>
    <mergeCell ref="A66:H66"/>
    <mergeCell ref="L66:N66"/>
    <mergeCell ref="A61:H61"/>
    <mergeCell ref="L61:N61"/>
    <mergeCell ref="A62:H62"/>
    <mergeCell ref="L62:N62"/>
    <mergeCell ref="A63:H63"/>
    <mergeCell ref="L63:N63"/>
    <mergeCell ref="L58:N59"/>
    <mergeCell ref="O58:O59"/>
    <mergeCell ref="P58:P59"/>
    <mergeCell ref="Q58:Q59"/>
    <mergeCell ref="A60:H60"/>
    <mergeCell ref="L60:N60"/>
    <mergeCell ref="A48:D48"/>
    <mergeCell ref="A49:D49"/>
    <mergeCell ref="A53:J53"/>
    <mergeCell ref="A55:J55"/>
    <mergeCell ref="A56:J56"/>
    <mergeCell ref="A58:H59"/>
    <mergeCell ref="I58:I59"/>
    <mergeCell ref="J58:J59"/>
    <mergeCell ref="A38:J38"/>
    <mergeCell ref="A40:J40"/>
    <mergeCell ref="A43:J43"/>
    <mergeCell ref="A45:D45"/>
    <mergeCell ref="G45:I45"/>
    <mergeCell ref="A46:D46"/>
    <mergeCell ref="A29:H29"/>
    <mergeCell ref="B31:J31"/>
    <mergeCell ref="A32:H32"/>
    <mergeCell ref="A34:J34"/>
    <mergeCell ref="D35:D36"/>
    <mergeCell ref="E35:G35"/>
    <mergeCell ref="H35:H36"/>
    <mergeCell ref="E36:G36"/>
    <mergeCell ref="A26:H26"/>
    <mergeCell ref="L26:N26"/>
    <mergeCell ref="A27:H27"/>
    <mergeCell ref="L27:N27"/>
    <mergeCell ref="A28:H28"/>
    <mergeCell ref="L28:N28"/>
    <mergeCell ref="A23:H23"/>
    <mergeCell ref="L23:N23"/>
    <mergeCell ref="A24:H24"/>
    <mergeCell ref="L24:N24"/>
    <mergeCell ref="A25:H25"/>
    <mergeCell ref="L25:N25"/>
    <mergeCell ref="L18:N18"/>
    <mergeCell ref="A20:H20"/>
    <mergeCell ref="L20:N20"/>
    <mergeCell ref="A21:H21"/>
    <mergeCell ref="L21:N21"/>
    <mergeCell ref="A22:H22"/>
    <mergeCell ref="L22:N22"/>
    <mergeCell ref="A13:J13"/>
    <mergeCell ref="A15:J15"/>
    <mergeCell ref="A16:J16"/>
    <mergeCell ref="A18:H19"/>
    <mergeCell ref="I18:I19"/>
    <mergeCell ref="J18:J19"/>
    <mergeCell ref="A7:J7"/>
    <mergeCell ref="A8:J8"/>
    <mergeCell ref="A10:H10"/>
    <mergeCell ref="I10:J10"/>
    <mergeCell ref="A11:H11"/>
    <mergeCell ref="I11:J11"/>
    <mergeCell ref="I1:J1"/>
    <mergeCell ref="I2:J2"/>
    <mergeCell ref="A4:B4"/>
    <mergeCell ref="C4:D4"/>
    <mergeCell ref="E4:J4"/>
    <mergeCell ref="A5:B5"/>
    <mergeCell ref="C5:D5"/>
    <mergeCell ref="E5:J5"/>
  </mergeCells>
  <conditionalFormatting sqref="A29:J29">
    <cfRule type="expression" dxfId="12" priority="12" stopIfTrue="1">
      <formula>DESONERACAO="não"</formula>
    </cfRule>
  </conditionalFormatting>
  <conditionalFormatting sqref="A32:J32">
    <cfRule type="expression" dxfId="11" priority="1" stopIfTrue="1">
      <formula>DESONERACAO="não"</formula>
    </cfRule>
  </conditionalFormatting>
  <conditionalFormatting sqref="A62:J63">
    <cfRule type="expression" dxfId="10" priority="7">
      <formula>$J$58=$A$147</formula>
    </cfRule>
  </conditionalFormatting>
  <conditionalFormatting sqref="A69:J69 A109:J109">
    <cfRule type="expression" dxfId="9" priority="8" stopIfTrue="1">
      <formula>DESONERACAO="não"</formula>
    </cfRule>
  </conditionalFormatting>
  <conditionalFormatting sqref="A102:J103">
    <cfRule type="expression" dxfId="8" priority="5">
      <formula>$J$98=$A$147</formula>
    </cfRule>
  </conditionalFormatting>
  <conditionalFormatting sqref="J28">
    <cfRule type="expression" dxfId="7" priority="13" stopIfTrue="1">
      <formula>DESONERACAO="não"</formula>
    </cfRule>
  </conditionalFormatting>
  <conditionalFormatting sqref="J60:J65">
    <cfRule type="expression" dxfId="6" priority="6">
      <formula>$J$58=$A$146</formula>
    </cfRule>
  </conditionalFormatting>
  <conditionalFormatting sqref="J68 J108">
    <cfRule type="expression" dxfId="5" priority="11" stopIfTrue="1">
      <formula>DESONERACAO="não"</formula>
    </cfRule>
  </conditionalFormatting>
  <conditionalFormatting sqref="J100:J105">
    <cfRule type="expression" dxfId="4" priority="4">
      <formula>$J$98=$A$146</formula>
    </cfRule>
  </conditionalFormatting>
  <conditionalFormatting sqref="L60:N67">
    <cfRule type="cellIs" dxfId="3" priority="3" operator="notEqual">
      <formula>"OK"</formula>
    </cfRule>
  </conditionalFormatting>
  <conditionalFormatting sqref="L68:N68 L108:N108">
    <cfRule type="expression" dxfId="2" priority="9" stopIfTrue="1">
      <formula>AND(L68&lt;&gt;"OK",L68&lt;&gt;"-",L68&lt;&gt;"")</formula>
    </cfRule>
    <cfRule type="cellIs" dxfId="1" priority="10" stopIfTrue="1" operator="equal">
      <formula>"OK"</formula>
    </cfRule>
  </conditionalFormatting>
  <conditionalFormatting sqref="L100:N107">
    <cfRule type="cellIs" dxfId="0" priority="2" operator="notEqual">
      <formula>"OK"</formula>
    </cfRule>
  </conditionalFormatting>
  <dataValidations count="6">
    <dataValidation operator="greaterThanOrEqual" allowBlank="1" showErrorMessage="1" errorTitle="Erro de valores" error="Digite um valor igual a 0% ou 2%." sqref="J27 J67 J107" xr:uid="{E64511F7-1C99-4726-ABFC-AE7B52A98B2F}">
      <formula1>0</formula1>
      <formula2>0</formula2>
    </dataValidation>
    <dataValidation type="decimal" allowBlank="1" showErrorMessage="1" errorTitle="Erro de valores" error="Digite um valor entre 0% e 100%" sqref="J60:J65 J100:J105" xr:uid="{716D572E-815C-422A-9FDC-98BE48F1DAAA}">
      <formula1>0</formula1>
      <formula2>1</formula2>
    </dataValidation>
    <dataValidation type="decimal" allowBlank="1" showErrorMessage="1" errorTitle="Erro de valores" error="Digite um valor maior do que 0." sqref="J106 J66 J20:J26" xr:uid="{9E1E6522-F38E-47F8-A9E1-9D37C16D3BFB}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I11:J11" xr:uid="{8F54E593-54AB-41CB-9F3C-A207A25558F2}">
      <formula1>0.02</formula1>
      <formula2>0.05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10:J10" xr:uid="{9DDA7F53-814A-4F6D-A81A-D7C9369B0920}">
      <formula1>0</formula1>
      <formula2>1</formula2>
    </dataValidation>
    <dataValidation type="list" allowBlank="1" showErrorMessage="1" sqref="A16:J16 A56:J56 A96:J96" xr:uid="{35BFCF74-0064-4A3D-B059-E72C9424966B}">
      <formula1>BDI.TipoObra</formula1>
      <formula2>0</formula2>
    </dataValidation>
  </dataValidations>
  <pageMargins left="0.511811024" right="0.511811024" top="0.78740157499999996" bottom="0.78740157499999996" header="0.31496062000000002" footer="0.31496062000000002"/>
  <pageSetup paperSize="9" scale="73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9"/>
  <sheetViews>
    <sheetView view="pageBreakPreview" zoomScaleNormal="100" zoomScaleSheetLayoutView="100" workbookViewId="0">
      <selection activeCell="A26" sqref="A26:J26"/>
    </sheetView>
  </sheetViews>
  <sheetFormatPr defaultRowHeight="13.2"/>
  <cols>
    <col min="1" max="1" width="20.44140625" style="91" customWidth="1"/>
    <col min="2" max="2" width="11.5546875" style="91" bestFit="1" customWidth="1"/>
    <col min="3" max="7" width="8.88671875" style="91"/>
    <col min="8" max="8" width="12.77734375" style="91" customWidth="1"/>
    <col min="9" max="9" width="12.109375" style="91" customWidth="1"/>
    <col min="10" max="16384" width="8.88671875" style="91"/>
  </cols>
  <sheetData>
    <row r="1" spans="1:10" ht="17.399999999999999">
      <c r="A1" s="505" t="s">
        <v>62</v>
      </c>
      <c r="B1" s="506"/>
      <c r="C1" s="506"/>
      <c r="D1" s="506"/>
      <c r="E1" s="506"/>
      <c r="F1" s="506"/>
      <c r="G1" s="506"/>
      <c r="H1" s="506"/>
      <c r="I1" s="506"/>
      <c r="J1" s="507"/>
    </row>
    <row r="2" spans="1:10">
      <c r="A2" s="92"/>
      <c r="J2" s="93"/>
    </row>
    <row r="3" spans="1:10" ht="18.600000000000001">
      <c r="A3" s="508" t="s">
        <v>63</v>
      </c>
      <c r="B3" s="509"/>
      <c r="C3" s="509"/>
      <c r="D3" s="509"/>
      <c r="E3" s="509"/>
      <c r="F3" s="509"/>
      <c r="G3" s="509"/>
      <c r="H3" s="509"/>
      <c r="I3" s="509"/>
      <c r="J3" s="510"/>
    </row>
    <row r="4" spans="1:10">
      <c r="A4" s="511" t="s">
        <v>64</v>
      </c>
      <c r="B4" s="512" t="s">
        <v>65</v>
      </c>
      <c r="C4" s="513" t="s">
        <v>55</v>
      </c>
      <c r="D4" s="513"/>
      <c r="E4" s="513"/>
      <c r="F4" s="513"/>
      <c r="G4" s="513"/>
      <c r="H4" s="513"/>
      <c r="I4" s="513"/>
      <c r="J4" s="514" t="s">
        <v>66</v>
      </c>
    </row>
    <row r="5" spans="1:10">
      <c r="A5" s="511"/>
      <c r="B5" s="513"/>
      <c r="C5" s="517" t="s">
        <v>67</v>
      </c>
      <c r="D5" s="518"/>
      <c r="E5" s="518"/>
      <c r="F5" s="519"/>
      <c r="G5" s="517" t="s">
        <v>68</v>
      </c>
      <c r="H5" s="518"/>
      <c r="I5" s="519"/>
      <c r="J5" s="515"/>
    </row>
    <row r="6" spans="1:10" ht="42">
      <c r="A6" s="511"/>
      <c r="B6" s="513"/>
      <c r="C6" s="94">
        <v>0.02</v>
      </c>
      <c r="D6" s="94">
        <v>0.03</v>
      </c>
      <c r="E6" s="94">
        <v>0.04</v>
      </c>
      <c r="F6" s="94">
        <v>0.05</v>
      </c>
      <c r="G6" s="95" t="s">
        <v>69</v>
      </c>
      <c r="H6" s="95" t="s">
        <v>70</v>
      </c>
      <c r="I6" s="95" t="s">
        <v>71</v>
      </c>
      <c r="J6" s="516"/>
    </row>
    <row r="7" spans="1:10">
      <c r="A7" s="96" t="s">
        <v>72</v>
      </c>
      <c r="B7" s="97" t="s">
        <v>73</v>
      </c>
      <c r="C7" s="98">
        <v>1</v>
      </c>
      <c r="D7" s="98">
        <v>1</v>
      </c>
      <c r="E7" s="98">
        <v>1</v>
      </c>
      <c r="F7" s="98">
        <v>1</v>
      </c>
      <c r="G7" s="98">
        <v>1</v>
      </c>
      <c r="H7" s="98">
        <v>1</v>
      </c>
      <c r="I7" s="98">
        <v>1</v>
      </c>
      <c r="J7" s="99"/>
    </row>
    <row r="8" spans="1:10">
      <c r="A8" s="96" t="s">
        <v>74</v>
      </c>
      <c r="B8" s="97" t="s">
        <v>75</v>
      </c>
      <c r="C8" s="100">
        <v>4.6699999999999998E-2</v>
      </c>
      <c r="D8" s="100">
        <v>4.6699999999999998E-2</v>
      </c>
      <c r="E8" s="100">
        <v>4.6699999999999998E-2</v>
      </c>
      <c r="F8" s="100">
        <v>4.6699999999999998E-2</v>
      </c>
      <c r="G8" s="101">
        <v>3.4200000000000001E-2</v>
      </c>
      <c r="H8" s="101">
        <v>4.0099999999999997E-2</v>
      </c>
      <c r="I8" s="101">
        <v>3.4200000000000001E-2</v>
      </c>
      <c r="J8" s="99" t="s">
        <v>73</v>
      </c>
    </row>
    <row r="9" spans="1:10">
      <c r="A9" s="96" t="s">
        <v>76</v>
      </c>
      <c r="B9" s="97" t="s">
        <v>77</v>
      </c>
      <c r="C9" s="100">
        <v>7.5300000000000006E-2</v>
      </c>
      <c r="D9" s="100">
        <v>7.5300000000000006E-2</v>
      </c>
      <c r="E9" s="100">
        <v>7.5300000000000006E-2</v>
      </c>
      <c r="F9" s="100">
        <v>7.5300000000000006E-2</v>
      </c>
      <c r="G9" s="102">
        <v>4.9400000000000006E-2</v>
      </c>
      <c r="H9" s="101">
        <v>6.6400000000000001E-2</v>
      </c>
      <c r="I9" s="102">
        <v>4.9400000000000006E-2</v>
      </c>
      <c r="J9" s="99" t="s">
        <v>73</v>
      </c>
    </row>
    <row r="10" spans="1:10">
      <c r="A10" s="96" t="s">
        <v>78</v>
      </c>
      <c r="B10" s="97" t="s">
        <v>79</v>
      </c>
      <c r="C10" s="100">
        <v>8.9999999999999993E-3</v>
      </c>
      <c r="D10" s="100">
        <v>8.9999999999999993E-3</v>
      </c>
      <c r="E10" s="100">
        <v>8.9999999999999993E-3</v>
      </c>
      <c r="F10" s="100">
        <v>8.9999999999999993E-3</v>
      </c>
      <c r="G10" s="100">
        <v>8.9999999999999993E-3</v>
      </c>
      <c r="H10" s="100">
        <v>8.9999999999999993E-3</v>
      </c>
      <c r="I10" s="100">
        <v>8.9999999999999993E-3</v>
      </c>
      <c r="J10" s="99" t="s">
        <v>73</v>
      </c>
    </row>
    <row r="11" spans="1:10" ht="20.399999999999999">
      <c r="A11" s="96" t="s">
        <v>80</v>
      </c>
      <c r="B11" s="103"/>
      <c r="C11" s="104">
        <f t="shared" ref="C11:H11" si="0">SUM(C12:C13)</f>
        <v>1.7100000000000001E-2</v>
      </c>
      <c r="D11" s="104">
        <f t="shared" si="0"/>
        <v>1.7100000000000001E-2</v>
      </c>
      <c r="E11" s="104">
        <f t="shared" si="0"/>
        <v>1.7100000000000001E-2</v>
      </c>
      <c r="F11" s="104">
        <f t="shared" si="0"/>
        <v>1.7100000000000001E-2</v>
      </c>
      <c r="G11" s="104">
        <v>1.29E-2</v>
      </c>
      <c r="H11" s="104">
        <f t="shared" si="0"/>
        <v>8.2000000000000007E-3</v>
      </c>
      <c r="I11" s="104">
        <v>1.29E-2</v>
      </c>
      <c r="J11" s="105" t="s">
        <v>73</v>
      </c>
    </row>
    <row r="12" spans="1:10">
      <c r="A12" s="96" t="s">
        <v>81</v>
      </c>
      <c r="B12" s="97" t="s">
        <v>82</v>
      </c>
      <c r="C12" s="100">
        <v>7.4000000000000003E-3</v>
      </c>
      <c r="D12" s="100">
        <v>7.4000000000000003E-3</v>
      </c>
      <c r="E12" s="100">
        <v>7.4000000000000003E-3</v>
      </c>
      <c r="F12" s="100">
        <v>7.4000000000000003E-3</v>
      </c>
      <c r="G12" s="101">
        <v>5.3E-3</v>
      </c>
      <c r="H12" s="101">
        <v>3.2000000000000002E-3</v>
      </c>
      <c r="I12" s="101">
        <v>5.3E-3</v>
      </c>
      <c r="J12" s="99" t="s">
        <v>73</v>
      </c>
    </row>
    <row r="13" spans="1:10">
      <c r="A13" s="96" t="s">
        <v>83</v>
      </c>
      <c r="B13" s="97" t="s">
        <v>84</v>
      </c>
      <c r="C13" s="100">
        <v>9.7000000000000003E-3</v>
      </c>
      <c r="D13" s="100">
        <v>9.7000000000000003E-3</v>
      </c>
      <c r="E13" s="100">
        <v>9.7000000000000003E-3</v>
      </c>
      <c r="F13" s="100">
        <v>9.7000000000000003E-3</v>
      </c>
      <c r="G13" s="101">
        <v>7.6E-3</v>
      </c>
      <c r="H13" s="101">
        <v>5.0000000000000001E-3</v>
      </c>
      <c r="I13" s="101">
        <v>7.6E-3</v>
      </c>
      <c r="J13" s="99" t="s">
        <v>73</v>
      </c>
    </row>
    <row r="14" spans="1:10">
      <c r="A14" s="96" t="s">
        <v>85</v>
      </c>
      <c r="B14" s="97" t="s">
        <v>86</v>
      </c>
      <c r="C14" s="104">
        <f>SUM(C15:C17)</f>
        <v>5.0499999999999996E-2</v>
      </c>
      <c r="D14" s="104">
        <f t="shared" ref="D14:I14" si="1">SUM(D15:D17)</f>
        <v>5.7499999999999996E-2</v>
      </c>
      <c r="E14" s="104">
        <f t="shared" si="1"/>
        <v>6.4500000000000002E-2</v>
      </c>
      <c r="F14" s="104">
        <f t="shared" si="1"/>
        <v>7.1499999999999994E-2</v>
      </c>
      <c r="G14" s="104">
        <f t="shared" si="1"/>
        <v>3.6499999999999998E-2</v>
      </c>
      <c r="H14" s="104">
        <f t="shared" si="1"/>
        <v>6.1499999999999999E-2</v>
      </c>
      <c r="I14" s="104">
        <f t="shared" si="1"/>
        <v>6.1499999999999999E-2</v>
      </c>
      <c r="J14" s="105" t="s">
        <v>87</v>
      </c>
    </row>
    <row r="15" spans="1:10">
      <c r="A15" s="96" t="s">
        <v>56</v>
      </c>
      <c r="B15" s="103" t="s">
        <v>88</v>
      </c>
      <c r="C15" s="106">
        <v>1.3999999999999999E-2</v>
      </c>
      <c r="D15" s="106">
        <v>2.0999999999999998E-2</v>
      </c>
      <c r="E15" s="106">
        <v>2.7999999999999997E-2</v>
      </c>
      <c r="F15" s="106">
        <v>3.4999999999999996E-2</v>
      </c>
      <c r="G15" s="106" t="s">
        <v>14</v>
      </c>
      <c r="H15" s="106">
        <v>2.5000000000000001E-2</v>
      </c>
      <c r="I15" s="106">
        <v>2.5000000000000001E-2</v>
      </c>
      <c r="J15" s="99" t="s">
        <v>87</v>
      </c>
    </row>
    <row r="16" spans="1:10">
      <c r="A16" s="96" t="s">
        <v>57</v>
      </c>
      <c r="B16" s="103" t="s">
        <v>57</v>
      </c>
      <c r="C16" s="100">
        <v>6.4999999999999997E-3</v>
      </c>
      <c r="D16" s="100">
        <v>6.4999999999999997E-3</v>
      </c>
      <c r="E16" s="100">
        <v>6.4999999999999997E-3</v>
      </c>
      <c r="F16" s="100">
        <v>6.4999999999999997E-3</v>
      </c>
      <c r="G16" s="100">
        <v>6.4999999999999997E-3</v>
      </c>
      <c r="H16" s="100">
        <v>6.4999999999999997E-3</v>
      </c>
      <c r="I16" s="100">
        <v>6.4999999999999997E-3</v>
      </c>
      <c r="J16" s="99" t="s">
        <v>87</v>
      </c>
    </row>
    <row r="17" spans="1:10">
      <c r="A17" s="96" t="s">
        <v>58</v>
      </c>
      <c r="B17" s="103" t="s">
        <v>14</v>
      </c>
      <c r="C17" s="100">
        <v>0.03</v>
      </c>
      <c r="D17" s="100">
        <v>0.03</v>
      </c>
      <c r="E17" s="100">
        <v>0.03</v>
      </c>
      <c r="F17" s="100">
        <v>0.03</v>
      </c>
      <c r="G17" s="100">
        <v>0.03</v>
      </c>
      <c r="H17" s="100">
        <v>0.03</v>
      </c>
      <c r="I17" s="100">
        <v>0.03</v>
      </c>
      <c r="J17" s="99" t="s">
        <v>87</v>
      </c>
    </row>
    <row r="18" spans="1:10">
      <c r="A18" s="96" t="s">
        <v>89</v>
      </c>
      <c r="B18" s="103" t="s">
        <v>90</v>
      </c>
      <c r="C18" s="107">
        <v>4.4999999999999998E-2</v>
      </c>
      <c r="D18" s="107">
        <v>4.4999999999999998E-2</v>
      </c>
      <c r="E18" s="107">
        <v>4.4999999999999998E-2</v>
      </c>
      <c r="F18" s="107">
        <v>4.4999999999999998E-2</v>
      </c>
      <c r="G18" s="107">
        <v>4.4999999999999998E-2</v>
      </c>
      <c r="H18" s="107">
        <v>4.4999999999999998E-2</v>
      </c>
      <c r="I18" s="107">
        <v>4.4999999999999998E-2</v>
      </c>
      <c r="J18" s="99" t="s">
        <v>87</v>
      </c>
    </row>
    <row r="19" spans="1:10">
      <c r="A19" s="520"/>
      <c r="B19" s="521"/>
      <c r="C19" s="521"/>
      <c r="D19" s="521"/>
      <c r="E19" s="521"/>
      <c r="F19" s="521"/>
      <c r="G19" s="521"/>
      <c r="H19" s="521"/>
      <c r="I19" s="521"/>
      <c r="J19" s="522"/>
    </row>
    <row r="20" spans="1:10">
      <c r="A20" s="523" t="s">
        <v>91</v>
      </c>
      <c r="B20" s="524"/>
      <c r="C20" s="527" t="s">
        <v>92</v>
      </c>
      <c r="D20" s="528"/>
      <c r="E20" s="528"/>
      <c r="F20" s="528"/>
      <c r="G20" s="528"/>
      <c r="H20" s="528"/>
      <c r="I20" s="528"/>
      <c r="J20" s="529"/>
    </row>
    <row r="21" spans="1:10">
      <c r="A21" s="525"/>
      <c r="B21" s="526"/>
      <c r="C21" s="530" t="s">
        <v>93</v>
      </c>
      <c r="D21" s="531"/>
      <c r="E21" s="531"/>
      <c r="F21" s="531"/>
      <c r="G21" s="531"/>
      <c r="H21" s="531"/>
      <c r="I21" s="531"/>
      <c r="J21" s="532"/>
    </row>
    <row r="22" spans="1:10">
      <c r="A22" s="533" t="s">
        <v>94</v>
      </c>
      <c r="B22" s="534"/>
      <c r="C22" s="108">
        <f>(1+(C8+C11))*(1+C10)*(1+C9)-1</f>
        <v>0.15419927725999982</v>
      </c>
      <c r="D22" s="108">
        <f t="shared" ref="D22:I22" si="2">(1+(D8+D11))*(1+D10)*(1+D9)-1</f>
        <v>0.15419927725999982</v>
      </c>
      <c r="E22" s="108">
        <f t="shared" si="2"/>
        <v>0.15419927725999982</v>
      </c>
      <c r="F22" s="108">
        <f t="shared" si="2"/>
        <v>0.15419927725999982</v>
      </c>
      <c r="G22" s="108">
        <f t="shared" si="2"/>
        <v>0.10871618065999988</v>
      </c>
      <c r="H22" s="108">
        <v>0.12790000000000001</v>
      </c>
      <c r="I22" s="108">
        <f t="shared" si="2"/>
        <v>0.10871618065999988</v>
      </c>
      <c r="J22" s="535"/>
    </row>
    <row r="23" spans="1:10">
      <c r="A23" s="533" t="s">
        <v>95</v>
      </c>
      <c r="B23" s="534"/>
      <c r="C23" s="108">
        <f>(1-(C14+C18))</f>
        <v>0.90449999999999997</v>
      </c>
      <c r="D23" s="108">
        <f t="shared" ref="D23:I23" si="3">(1-(D14+D18))</f>
        <v>0.89749999999999996</v>
      </c>
      <c r="E23" s="108">
        <f t="shared" si="3"/>
        <v>0.89049999999999996</v>
      </c>
      <c r="F23" s="108">
        <f t="shared" si="3"/>
        <v>0.88349999999999995</v>
      </c>
      <c r="G23" s="108">
        <f t="shared" si="3"/>
        <v>0.91849999999999998</v>
      </c>
      <c r="H23" s="108">
        <f t="shared" si="3"/>
        <v>0.89349999999999996</v>
      </c>
      <c r="I23" s="108">
        <f t="shared" si="3"/>
        <v>0.89349999999999996</v>
      </c>
      <c r="J23" s="536"/>
    </row>
    <row r="24" spans="1:10">
      <c r="A24" s="538" t="s">
        <v>59</v>
      </c>
      <c r="B24" s="539"/>
      <c r="C24" s="542">
        <v>0.27600000000000002</v>
      </c>
      <c r="D24" s="542">
        <f t="shared" ref="D24:G24" si="4">(1+D22)/D23-1</f>
        <v>0.28601590781058484</v>
      </c>
      <c r="E24" s="542">
        <f t="shared" si="4"/>
        <v>0.29612496042672642</v>
      </c>
      <c r="F24" s="542">
        <f t="shared" si="4"/>
        <v>0.30639420176570442</v>
      </c>
      <c r="G24" s="542">
        <f t="shared" si="4"/>
        <v>0.20709437197604785</v>
      </c>
      <c r="H24" s="542">
        <v>0.26240000000000002</v>
      </c>
      <c r="I24" s="542">
        <v>0.24079999999999999</v>
      </c>
      <c r="J24" s="536"/>
    </row>
    <row r="25" spans="1:10">
      <c r="A25" s="540"/>
      <c r="B25" s="541"/>
      <c r="C25" s="542"/>
      <c r="D25" s="542"/>
      <c r="E25" s="542"/>
      <c r="F25" s="542"/>
      <c r="G25" s="542"/>
      <c r="H25" s="542"/>
      <c r="I25" s="542"/>
      <c r="J25" s="537"/>
    </row>
    <row r="26" spans="1:10">
      <c r="A26" s="549" t="s">
        <v>96</v>
      </c>
      <c r="B26" s="550"/>
      <c r="C26" s="550"/>
      <c r="D26" s="550"/>
      <c r="E26" s="550"/>
      <c r="F26" s="550"/>
      <c r="G26" s="550"/>
      <c r="H26" s="550"/>
      <c r="I26" s="550"/>
      <c r="J26" s="551"/>
    </row>
    <row r="27" spans="1:10" ht="78.75" customHeight="1">
      <c r="A27" s="544" t="s">
        <v>97</v>
      </c>
      <c r="B27" s="545"/>
      <c r="C27" s="545"/>
      <c r="D27" s="545"/>
      <c r="E27" s="545"/>
      <c r="F27" s="545"/>
      <c r="G27" s="545"/>
      <c r="H27" s="545"/>
      <c r="I27" s="545"/>
      <c r="J27" s="546"/>
    </row>
    <row r="28" spans="1:10">
      <c r="A28" s="92"/>
      <c r="J28" s="93"/>
    </row>
    <row r="29" spans="1:10" s="111" customFormat="1" ht="14.4">
      <c r="A29" s="109" t="s">
        <v>98</v>
      </c>
      <c r="B29" s="110">
        <f ca="1">TODAY()</f>
        <v>46202</v>
      </c>
      <c r="C29" s="111" t="s">
        <v>99</v>
      </c>
      <c r="H29" s="112" t="s">
        <v>100</v>
      </c>
      <c r="I29" s="113" t="s">
        <v>102</v>
      </c>
      <c r="J29" s="114"/>
    </row>
    <row r="30" spans="1:10" s="111" customFormat="1" ht="14.4">
      <c r="A30" s="109"/>
      <c r="B30" s="110"/>
      <c r="J30" s="114"/>
    </row>
    <row r="31" spans="1:10" s="111" customFormat="1" ht="32.25" customHeight="1">
      <c r="A31" s="115"/>
      <c r="J31" s="114"/>
    </row>
    <row r="32" spans="1:10" s="111" customFormat="1" ht="14.4">
      <c r="A32" s="115"/>
      <c r="C32" s="547" t="str">
        <f>'[5]Planilha Orcamentária'!C44</f>
        <v>Priscila Cristina de Paula Neto</v>
      </c>
      <c r="D32" s="547"/>
      <c r="E32" s="547"/>
      <c r="F32" s="547"/>
      <c r="G32" s="547"/>
      <c r="J32" s="114"/>
    </row>
    <row r="33" spans="1:10" s="111" customFormat="1" ht="14.4">
      <c r="A33" s="115"/>
      <c r="C33" s="543" t="str">
        <f>'[5]Planilha Orcamentária'!C46</f>
        <v>Engenheira Civil</v>
      </c>
      <c r="D33" s="543"/>
      <c r="E33" s="543" t="str">
        <f>'[5]Planilha Orcamentária'!C47</f>
        <v>CREA-MG Nº: 142702/D</v>
      </c>
      <c r="F33" s="543"/>
      <c r="G33" s="543"/>
      <c r="J33" s="114"/>
    </row>
    <row r="34" spans="1:10" s="111" customFormat="1" ht="14.4">
      <c r="A34" s="115"/>
      <c r="J34" s="114"/>
    </row>
    <row r="35" spans="1:10" s="111" customFormat="1" ht="38.25" customHeight="1">
      <c r="A35" s="115"/>
      <c r="J35" s="114"/>
    </row>
    <row r="36" spans="1:10" s="111" customFormat="1" ht="14.4">
      <c r="A36" s="115"/>
      <c r="C36" s="548" t="str">
        <f>'Planilha Orcamentária'!C59</f>
        <v>Luzimar de Moura Benfica</v>
      </c>
      <c r="D36" s="548"/>
      <c r="E36" s="548"/>
      <c r="F36" s="548"/>
      <c r="G36" s="548"/>
      <c r="J36" s="114"/>
    </row>
    <row r="37" spans="1:10" s="111" customFormat="1" ht="14.4">
      <c r="A37" s="115"/>
      <c r="C37" s="543" t="str">
        <f>'Planilha Orcamentária'!C60</f>
        <v>Prefeito Municipal</v>
      </c>
      <c r="D37" s="543"/>
      <c r="E37" s="543"/>
      <c r="F37" s="543"/>
      <c r="G37" s="543"/>
      <c r="J37" s="114"/>
    </row>
    <row r="38" spans="1:10" s="111" customFormat="1" ht="14.4">
      <c r="A38" s="115"/>
      <c r="C38" s="116"/>
      <c r="D38" s="116"/>
      <c r="E38" s="116"/>
      <c r="F38" s="116"/>
      <c r="G38" s="116"/>
      <c r="J38" s="114"/>
    </row>
    <row r="39" spans="1:10" s="111" customFormat="1" ht="14.4">
      <c r="A39" s="117"/>
      <c r="B39" s="118"/>
      <c r="C39" s="118"/>
      <c r="D39" s="118"/>
      <c r="E39" s="118"/>
      <c r="F39" s="118"/>
      <c r="G39" s="118"/>
      <c r="H39" s="118"/>
      <c r="I39" s="118"/>
      <c r="J39" s="119"/>
    </row>
  </sheetData>
  <mergeCells count="30">
    <mergeCell ref="C37:G37"/>
    <mergeCell ref="E24:E25"/>
    <mergeCell ref="F24:F25"/>
    <mergeCell ref="G24:G25"/>
    <mergeCell ref="H24:H25"/>
    <mergeCell ref="A27:J27"/>
    <mergeCell ref="C32:G32"/>
    <mergeCell ref="C33:D33"/>
    <mergeCell ref="E33:G33"/>
    <mergeCell ref="C36:G36"/>
    <mergeCell ref="I24:I25"/>
    <mergeCell ref="A26:J26"/>
    <mergeCell ref="A19:J19"/>
    <mergeCell ref="A20:B21"/>
    <mergeCell ref="C20:J20"/>
    <mergeCell ref="C21:J21"/>
    <mergeCell ref="A22:B22"/>
    <mergeCell ref="J22:J25"/>
    <mergeCell ref="A23:B23"/>
    <mergeCell ref="A24:B25"/>
    <mergeCell ref="C24:C25"/>
    <mergeCell ref="D24:D25"/>
    <mergeCell ref="A1:J1"/>
    <mergeCell ref="A3:J3"/>
    <mergeCell ref="A4:A6"/>
    <mergeCell ref="B4:B6"/>
    <mergeCell ref="C4:I4"/>
    <mergeCell ref="J4:J6"/>
    <mergeCell ref="C5:F5"/>
    <mergeCell ref="G5:I5"/>
  </mergeCells>
  <pageMargins left="0.51181102362204722" right="0.51181102362204722" top="0.78740157480314965" bottom="0.78740157480314965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Planilha Orcamentária</vt:lpstr>
      <vt:lpstr>BM 01</vt:lpstr>
      <vt:lpstr>Memória de Cálculo</vt:lpstr>
      <vt:lpstr>Cronograma</vt:lpstr>
      <vt:lpstr>COMPOSIÇÃO BDI</vt:lpstr>
      <vt:lpstr>BDI</vt:lpstr>
      <vt:lpstr>'COMPOSIÇÃO BDI'!Area_de_impressao</vt:lpstr>
      <vt:lpstr>Cronograma!Area_de_impressao</vt:lpstr>
      <vt:lpstr>'Memória de Cálculo'!Area_de_impressao</vt:lpstr>
      <vt:lpstr>'Planilha Orcamentária'!Area_de_impressao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PRISCILA DE PAULA</cp:lastModifiedBy>
  <cp:lastPrinted>2026-06-29T14:18:51Z</cp:lastPrinted>
  <dcterms:created xsi:type="dcterms:W3CDTF">2006-09-22T13:55:22Z</dcterms:created>
  <dcterms:modified xsi:type="dcterms:W3CDTF">2026-06-29T14:18:56Z</dcterms:modified>
</cp:coreProperties>
</file>