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ngenharia-Seduc\Desktop\Jéssica\0 - PROJETOS\2026\22 - COBERTURA ESCOLA ACHILES NAVES\Orçamento\"/>
    </mc:Choice>
  </mc:AlternateContent>
  <bookViews>
    <workbookView xWindow="0" yWindow="0" windowWidth="21570" windowHeight="8055"/>
  </bookViews>
  <sheets>
    <sheet name="BDI" sheetId="2" r:id="rId1"/>
    <sheet name="Orçamento Sintético" sheetId="1" r:id="rId2"/>
    <sheet name="CONOGRAMA" sheetId="4" r:id="rId3"/>
  </sheets>
  <externalReferences>
    <externalReference r:id="rId4"/>
  </externalReferences>
  <definedNames>
    <definedName name="DESONERACAO" hidden="1">IF(OR(Import.Desoneracao="DESONERADO",Import.Desoneracao="SIM"),"SIM","NÃO")</definedName>
    <definedName name="Import.Desoneracao" hidden="1">OFFSET([1]DADOS!$G$18,0,-1)</definedName>
  </definedNames>
  <calcPr calcId="152511"/>
</workbook>
</file>

<file path=xl/calcChain.xml><?xml version="1.0" encoding="utf-8"?>
<calcChain xmlns="http://schemas.openxmlformats.org/spreadsheetml/2006/main">
  <c r="F16" i="4" l="1"/>
  <c r="J16" i="4"/>
  <c r="K16" i="4"/>
  <c r="L16" i="4"/>
  <c r="E16" i="4"/>
  <c r="D14" i="4"/>
  <c r="B13" i="4"/>
  <c r="D12" i="4"/>
  <c r="B11" i="4"/>
  <c r="D10" i="4"/>
  <c r="B9" i="4"/>
  <c r="D8" i="4"/>
  <c r="D18" i="4" s="1"/>
  <c r="B7" i="4"/>
  <c r="L4" i="4"/>
  <c r="D16" i="4" l="1"/>
  <c r="K21" i="4"/>
  <c r="J14" i="4"/>
  <c r="M13" i="4"/>
  <c r="H12" i="4"/>
  <c r="H16" i="4" s="1"/>
  <c r="M11" i="4"/>
  <c r="M9" i="4"/>
  <c r="M7" i="4"/>
  <c r="I12" i="4" l="1"/>
  <c r="I16" i="4" s="1"/>
  <c r="F10" i="4"/>
  <c r="G10" i="4"/>
  <c r="H10" i="4"/>
  <c r="I10" i="4"/>
  <c r="J12" i="4"/>
  <c r="K12" i="4"/>
  <c r="L12" i="4"/>
  <c r="E10" i="4"/>
  <c r="J10" i="4"/>
  <c r="L14" i="4"/>
  <c r="L10" i="4"/>
  <c r="K14" i="4"/>
  <c r="K10" i="4"/>
  <c r="L8" i="4"/>
  <c r="K8" i="4"/>
  <c r="E8" i="4"/>
  <c r="F8" i="4"/>
  <c r="G8" i="4"/>
  <c r="J8" i="4"/>
  <c r="H8" i="4"/>
  <c r="I8" i="4"/>
  <c r="G14" i="4"/>
  <c r="F12" i="4"/>
  <c r="I14" i="4"/>
  <c r="E14" i="4"/>
  <c r="H14" i="4"/>
  <c r="G12" i="4"/>
  <c r="G16" i="4" s="1"/>
  <c r="F14" i="4"/>
  <c r="E12" i="4"/>
  <c r="M10" i="4" l="1"/>
  <c r="M14" i="4"/>
  <c r="M12" i="4"/>
  <c r="M18" i="4" s="1"/>
  <c r="D11" i="4"/>
  <c r="D9" i="4"/>
  <c r="D13" i="4"/>
  <c r="D7" i="4"/>
  <c r="M8" i="4"/>
  <c r="D17" i="4" l="1"/>
  <c r="D15" i="4"/>
  <c r="L15" i="4"/>
  <c r="F15" i="4"/>
  <c r="H15" i="4"/>
  <c r="I15" i="4"/>
  <c r="J15" i="4"/>
  <c r="M16" i="4"/>
  <c r="M17" i="4" s="1"/>
  <c r="E15" i="4"/>
  <c r="E18" i="4"/>
  <c r="E17" i="4" s="1"/>
  <c r="G15" i="4"/>
  <c r="K15" i="4"/>
  <c r="M15" i="4" l="1"/>
  <c r="F18" i="4"/>
  <c r="F17" i="4" l="1"/>
  <c r="G18" i="4"/>
  <c r="G17" i="4" l="1"/>
  <c r="H18" i="4"/>
  <c r="H17" i="4" l="1"/>
  <c r="I18" i="4"/>
  <c r="J18" i="4" s="1"/>
  <c r="K18" i="4" s="1"/>
  <c r="L18" i="4" s="1"/>
  <c r="I17" i="4" l="1"/>
  <c r="J17" i="4" l="1"/>
  <c r="K17" i="4" l="1"/>
  <c r="L17" i="4" l="1"/>
  <c r="G38" i="2" l="1"/>
  <c r="E28" i="2"/>
  <c r="J23" i="2"/>
  <c r="J22" i="2"/>
  <c r="L22" i="2" s="1"/>
  <c r="A18" i="2"/>
  <c r="A17" i="2"/>
  <c r="A16" i="2"/>
  <c r="A15" i="2"/>
  <c r="A14" i="2"/>
  <c r="H363" i="1"/>
  <c r="H359" i="1" l="1"/>
  <c r="I359" i="1" s="1"/>
  <c r="H357" i="1"/>
  <c r="I357" i="1" s="1"/>
  <c r="H355" i="1"/>
  <c r="I355" i="1" s="1"/>
  <c r="H354" i="1"/>
  <c r="I354" i="1" s="1"/>
  <c r="I353" i="1"/>
  <c r="H353" i="1"/>
  <c r="I352" i="1"/>
  <c r="H352" i="1"/>
  <c r="I351" i="1"/>
  <c r="H351" i="1"/>
  <c r="H349" i="1"/>
  <c r="I349" i="1" s="1"/>
  <c r="H348" i="1"/>
  <c r="I348" i="1" s="1"/>
  <c r="H346" i="1"/>
  <c r="I346" i="1" s="1"/>
  <c r="H345" i="1"/>
  <c r="I345" i="1" s="1"/>
  <c r="H344" i="1"/>
  <c r="I344" i="1" s="1"/>
  <c r="H342" i="1"/>
  <c r="I342" i="1" s="1"/>
  <c r="H340" i="1"/>
  <c r="I340" i="1" s="1"/>
  <c r="H339" i="1"/>
  <c r="I339" i="1" s="1"/>
  <c r="H338" i="1"/>
  <c r="I338" i="1" s="1"/>
  <c r="I337" i="1"/>
  <c r="H337" i="1"/>
  <c r="H334" i="1"/>
  <c r="I334" i="1" s="1"/>
  <c r="I333" i="1"/>
  <c r="H333" i="1"/>
  <c r="I332" i="1"/>
  <c r="H332" i="1"/>
  <c r="H331" i="1"/>
  <c r="I331" i="1" s="1"/>
  <c r="H330" i="1"/>
  <c r="I330" i="1" s="1"/>
  <c r="H329" i="1"/>
  <c r="I329" i="1" s="1"/>
  <c r="H328" i="1"/>
  <c r="I328" i="1" s="1"/>
  <c r="H327" i="1"/>
  <c r="I327" i="1" s="1"/>
  <c r="H326" i="1"/>
  <c r="I326" i="1" s="1"/>
  <c r="H325" i="1"/>
  <c r="I325" i="1" s="1"/>
  <c r="H324" i="1"/>
  <c r="I324" i="1" s="1"/>
  <c r="H323" i="1"/>
  <c r="I323" i="1" s="1"/>
  <c r="H322" i="1"/>
  <c r="I322" i="1" s="1"/>
  <c r="H321" i="1"/>
  <c r="I321" i="1" s="1"/>
  <c r="I320" i="1"/>
  <c r="H320" i="1"/>
  <c r="H319" i="1"/>
  <c r="I319" i="1" s="1"/>
  <c r="H318" i="1"/>
  <c r="I318" i="1" s="1"/>
  <c r="H317" i="1"/>
  <c r="I317" i="1" s="1"/>
  <c r="H316" i="1"/>
  <c r="I316" i="1" s="1"/>
  <c r="H315" i="1"/>
  <c r="I315" i="1" s="1"/>
  <c r="H314" i="1"/>
  <c r="I314" i="1" s="1"/>
  <c r="I313" i="1"/>
  <c r="H313" i="1"/>
  <c r="I312" i="1"/>
  <c r="H312" i="1"/>
  <c r="H311" i="1"/>
  <c r="I311" i="1" s="1"/>
  <c r="H310" i="1"/>
  <c r="I310" i="1" s="1"/>
  <c r="H309" i="1"/>
  <c r="I309" i="1" s="1"/>
  <c r="H307" i="1"/>
  <c r="I307" i="1" s="1"/>
  <c r="H306" i="1"/>
  <c r="I306" i="1" s="1"/>
  <c r="H305" i="1"/>
  <c r="I305" i="1" s="1"/>
  <c r="H304" i="1"/>
  <c r="I304" i="1" s="1"/>
  <c r="H303" i="1"/>
  <c r="I303" i="1" s="1"/>
  <c r="H302" i="1"/>
  <c r="I302" i="1" s="1"/>
  <c r="I300" i="1"/>
  <c r="H300" i="1"/>
  <c r="H299" i="1"/>
  <c r="I299" i="1" s="1"/>
  <c r="H298" i="1"/>
  <c r="I298" i="1" s="1"/>
  <c r="H297" i="1"/>
  <c r="I297" i="1" s="1"/>
  <c r="I296" i="1"/>
  <c r="H296" i="1"/>
  <c r="H295" i="1"/>
  <c r="I295" i="1" s="1"/>
  <c r="I293" i="1"/>
  <c r="H293" i="1"/>
  <c r="I292" i="1"/>
  <c r="H292" i="1"/>
  <c r="H291" i="1"/>
  <c r="I291" i="1" s="1"/>
  <c r="I290" i="1"/>
  <c r="H290" i="1"/>
  <c r="I289" i="1"/>
  <c r="H289" i="1"/>
  <c r="H288" i="1"/>
  <c r="I288" i="1" s="1"/>
  <c r="H287" i="1"/>
  <c r="I287" i="1" s="1"/>
  <c r="H286" i="1"/>
  <c r="I286" i="1" s="1"/>
  <c r="H285" i="1"/>
  <c r="I285" i="1" s="1"/>
  <c r="H283" i="1"/>
  <c r="I283" i="1" s="1"/>
  <c r="H282" i="1"/>
  <c r="I282" i="1" s="1"/>
  <c r="I281" i="1"/>
  <c r="H281" i="1"/>
  <c r="H280" i="1"/>
  <c r="I280" i="1" s="1"/>
  <c r="H279" i="1"/>
  <c r="I279" i="1" s="1"/>
  <c r="H278" i="1"/>
  <c r="I278" i="1" s="1"/>
  <c r="H277" i="1"/>
  <c r="I277" i="1" s="1"/>
  <c r="H276" i="1"/>
  <c r="I276" i="1" s="1"/>
  <c r="H275" i="1"/>
  <c r="I275" i="1" s="1"/>
  <c r="H274" i="1"/>
  <c r="I274" i="1" s="1"/>
  <c r="I273" i="1"/>
  <c r="H273" i="1"/>
  <c r="I272" i="1"/>
  <c r="H272" i="1"/>
  <c r="H271" i="1"/>
  <c r="I271" i="1" s="1"/>
  <c r="H269" i="1"/>
  <c r="I269" i="1" s="1"/>
  <c r="I268" i="1"/>
  <c r="H268" i="1"/>
  <c r="H267" i="1"/>
  <c r="I267" i="1" s="1"/>
  <c r="H266" i="1"/>
  <c r="I266" i="1" s="1"/>
  <c r="H265" i="1"/>
  <c r="I265" i="1" s="1"/>
  <c r="H264" i="1"/>
  <c r="I264" i="1" s="1"/>
  <c r="I263" i="1"/>
  <c r="H263" i="1"/>
  <c r="H262" i="1"/>
  <c r="I262" i="1" s="1"/>
  <c r="I261" i="1"/>
  <c r="H261" i="1"/>
  <c r="I260" i="1"/>
  <c r="H260" i="1"/>
  <c r="H259" i="1"/>
  <c r="I259" i="1" s="1"/>
  <c r="H258" i="1"/>
  <c r="I258" i="1" s="1"/>
  <c r="H257" i="1"/>
  <c r="I257" i="1" s="1"/>
  <c r="H256" i="1"/>
  <c r="I256" i="1" s="1"/>
  <c r="H255" i="1"/>
  <c r="I255" i="1" s="1"/>
  <c r="I254" i="1"/>
  <c r="H254" i="1"/>
  <c r="I253" i="1"/>
  <c r="H253" i="1"/>
  <c r="I252" i="1"/>
  <c r="H252" i="1"/>
  <c r="I251" i="1"/>
  <c r="H251" i="1"/>
  <c r="H249" i="1"/>
  <c r="I249" i="1" s="1"/>
  <c r="H248" i="1"/>
  <c r="I248" i="1" s="1"/>
  <c r="H247" i="1"/>
  <c r="I247" i="1" s="1"/>
  <c r="H246" i="1"/>
  <c r="I246" i="1" s="1"/>
  <c r="H245" i="1"/>
  <c r="I245" i="1" s="1"/>
  <c r="H244" i="1"/>
  <c r="I244" i="1" s="1"/>
  <c r="I243" i="1"/>
  <c r="H243" i="1"/>
  <c r="H242" i="1"/>
  <c r="I242" i="1" s="1"/>
  <c r="H241" i="1"/>
  <c r="I241" i="1" s="1"/>
  <c r="H239" i="1"/>
  <c r="I239" i="1" s="1"/>
  <c r="H238" i="1"/>
  <c r="I238" i="1" s="1"/>
  <c r="H237" i="1"/>
  <c r="I237" i="1" s="1"/>
  <c r="H236" i="1"/>
  <c r="I236" i="1" s="1"/>
  <c r="I235" i="1"/>
  <c r="H235" i="1"/>
  <c r="H234" i="1"/>
  <c r="I234" i="1" s="1"/>
  <c r="I233" i="1"/>
  <c r="H233" i="1"/>
  <c r="I232" i="1"/>
  <c r="H232" i="1"/>
  <c r="H231" i="1"/>
  <c r="I231" i="1" s="1"/>
  <c r="H229" i="1"/>
  <c r="I229" i="1" s="1"/>
  <c r="H226" i="1"/>
  <c r="I226" i="1" s="1"/>
  <c r="H225" i="1"/>
  <c r="I225" i="1" s="1"/>
  <c r="I224" i="1"/>
  <c r="H224" i="1"/>
  <c r="I223" i="1"/>
  <c r="H223" i="1"/>
  <c r="H222" i="1"/>
  <c r="I222" i="1" s="1"/>
  <c r="H221" i="1"/>
  <c r="I221" i="1" s="1"/>
  <c r="H220" i="1"/>
  <c r="I220" i="1" s="1"/>
  <c r="H219" i="1"/>
  <c r="I219" i="1" s="1"/>
  <c r="H218" i="1"/>
  <c r="I218" i="1" s="1"/>
  <c r="H217" i="1"/>
  <c r="I217" i="1" s="1"/>
  <c r="H216" i="1"/>
  <c r="I216" i="1" s="1"/>
  <c r="H215" i="1"/>
  <c r="I215" i="1" s="1"/>
  <c r="I214" i="1"/>
  <c r="H214" i="1"/>
  <c r="I213" i="1"/>
  <c r="H213" i="1"/>
  <c r="I212" i="1"/>
  <c r="H212" i="1"/>
  <c r="H210" i="1"/>
  <c r="I210" i="1" s="1"/>
  <c r="H209" i="1"/>
  <c r="I209" i="1" s="1"/>
  <c r="H206" i="1"/>
  <c r="I206" i="1" s="1"/>
  <c r="H205" i="1"/>
  <c r="I205" i="1" s="1"/>
  <c r="H204" i="1"/>
  <c r="I204" i="1" s="1"/>
  <c r="H203" i="1"/>
  <c r="I203" i="1" s="1"/>
  <c r="H202" i="1"/>
  <c r="I202" i="1" s="1"/>
  <c r="H201" i="1"/>
  <c r="I201" i="1" s="1"/>
  <c r="H200" i="1"/>
  <c r="I200" i="1" s="1"/>
  <c r="H199" i="1"/>
  <c r="I199" i="1" s="1"/>
  <c r="H198" i="1"/>
  <c r="I198" i="1" s="1"/>
  <c r="I197" i="1"/>
  <c r="H197" i="1"/>
  <c r="H196" i="1"/>
  <c r="I196" i="1" s="1"/>
  <c r="I195" i="1"/>
  <c r="H195" i="1"/>
  <c r="I193" i="1"/>
  <c r="H191" i="1" s="1"/>
  <c r="I191" i="1" s="1"/>
  <c r="H193" i="1"/>
  <c r="I192" i="1"/>
  <c r="H192" i="1"/>
  <c r="H189" i="1"/>
  <c r="I189" i="1" s="1"/>
  <c r="I188" i="1"/>
  <c r="H188" i="1"/>
  <c r="I187" i="1"/>
  <c r="H187" i="1"/>
  <c r="H186" i="1"/>
  <c r="I186" i="1" s="1"/>
  <c r="H185" i="1"/>
  <c r="I185" i="1" s="1"/>
  <c r="H184" i="1"/>
  <c r="I184" i="1" s="1"/>
  <c r="H183" i="1"/>
  <c r="I183" i="1" s="1"/>
  <c r="H182" i="1"/>
  <c r="I182" i="1" s="1"/>
  <c r="I181" i="1"/>
  <c r="H181" i="1"/>
  <c r="H180" i="1"/>
  <c r="I180" i="1" s="1"/>
  <c r="H179" i="1"/>
  <c r="I179" i="1" s="1"/>
  <c r="I178" i="1"/>
  <c r="H178" i="1"/>
  <c r="H177" i="1"/>
  <c r="I177" i="1" s="1"/>
  <c r="H176" i="1"/>
  <c r="I176" i="1" s="1"/>
  <c r="H175" i="1"/>
  <c r="I175" i="1" s="1"/>
  <c r="H174" i="1"/>
  <c r="I174" i="1" s="1"/>
  <c r="I173" i="1"/>
  <c r="H173" i="1"/>
  <c r="I172" i="1"/>
  <c r="H172" i="1"/>
  <c r="I171" i="1"/>
  <c r="H171" i="1"/>
  <c r="H170" i="1"/>
  <c r="I170" i="1" s="1"/>
  <c r="H168" i="1"/>
  <c r="I168" i="1" s="1"/>
  <c r="H167" i="1"/>
  <c r="I167" i="1" s="1"/>
  <c r="H166" i="1"/>
  <c r="I166" i="1" s="1"/>
  <c r="I163" i="1"/>
  <c r="H163" i="1"/>
  <c r="I162" i="1"/>
  <c r="H161" i="1" s="1"/>
  <c r="I161" i="1" s="1"/>
  <c r="H162" i="1"/>
  <c r="I160" i="1"/>
  <c r="H160" i="1"/>
  <c r="H159" i="1"/>
  <c r="I159" i="1" s="1"/>
  <c r="H158" i="1"/>
  <c r="I158" i="1" s="1"/>
  <c r="I157" i="1"/>
  <c r="H157" i="1"/>
  <c r="H156" i="1"/>
  <c r="I156" i="1" s="1"/>
  <c r="H155" i="1"/>
  <c r="I155" i="1" s="1"/>
  <c r="H154" i="1"/>
  <c r="I154" i="1" s="1"/>
  <c r="I153" i="1"/>
  <c r="H153" i="1"/>
  <c r="I152" i="1"/>
  <c r="H152" i="1"/>
  <c r="H151" i="1"/>
  <c r="I151" i="1" s="1"/>
  <c r="I150" i="1"/>
  <c r="H150" i="1"/>
  <c r="H149" i="1"/>
  <c r="I149" i="1" s="1"/>
  <c r="H148" i="1"/>
  <c r="I148" i="1" s="1"/>
  <c r="H146" i="1"/>
  <c r="I146" i="1" s="1"/>
  <c r="H145" i="1"/>
  <c r="I145" i="1" s="1"/>
  <c r="H144" i="1"/>
  <c r="I144" i="1" s="1"/>
  <c r="I143" i="1"/>
  <c r="H143" i="1"/>
  <c r="H142" i="1"/>
  <c r="I142" i="1" s="1"/>
  <c r="H141" i="1"/>
  <c r="I141" i="1" s="1"/>
  <c r="H140" i="1"/>
  <c r="I140" i="1" s="1"/>
  <c r="H139" i="1"/>
  <c r="I139" i="1" s="1"/>
  <c r="I137" i="1"/>
  <c r="H137" i="1"/>
  <c r="H136" i="1"/>
  <c r="I136" i="1" s="1"/>
  <c r="I135" i="1"/>
  <c r="H135" i="1"/>
  <c r="H134" i="1"/>
  <c r="I134" i="1" s="1"/>
  <c r="I133" i="1"/>
  <c r="H133" i="1"/>
  <c r="I132" i="1"/>
  <c r="H132" i="1"/>
  <c r="H131" i="1"/>
  <c r="I131" i="1" s="1"/>
  <c r="I130" i="1"/>
  <c r="H130" i="1"/>
  <c r="H127" i="1"/>
  <c r="I127" i="1" s="1"/>
  <c r="H126" i="1"/>
  <c r="I126" i="1" s="1"/>
  <c r="H125" i="1"/>
  <c r="I125" i="1" s="1"/>
  <c r="H123" i="1"/>
  <c r="I123" i="1" s="1"/>
  <c r="H122" i="1"/>
  <c r="I122" i="1" s="1"/>
  <c r="H121" i="1"/>
  <c r="I121" i="1" s="1"/>
  <c r="H120" i="1"/>
  <c r="I120" i="1" s="1"/>
  <c r="H119" i="1"/>
  <c r="I119" i="1" s="1"/>
  <c r="H118" i="1"/>
  <c r="I118" i="1" s="1"/>
  <c r="H116" i="1"/>
  <c r="I116" i="1" s="1"/>
  <c r="I115" i="1"/>
  <c r="H115" i="1"/>
  <c r="I113" i="1"/>
  <c r="H112" i="1" s="1"/>
  <c r="I112" i="1" s="1"/>
  <c r="H113" i="1"/>
  <c r="H111" i="1"/>
  <c r="I111" i="1" s="1"/>
  <c r="H110" i="1"/>
  <c r="I110" i="1" s="1"/>
  <c r="H109" i="1"/>
  <c r="I109" i="1" s="1"/>
  <c r="I108" i="1"/>
  <c r="H108" i="1"/>
  <c r="H107" i="1"/>
  <c r="I107" i="1" s="1"/>
  <c r="H106" i="1"/>
  <c r="I106" i="1" s="1"/>
  <c r="H105" i="1"/>
  <c r="I105" i="1" s="1"/>
  <c r="H103" i="1"/>
  <c r="I103" i="1" s="1"/>
  <c r="I102" i="1"/>
  <c r="H102" i="1"/>
  <c r="H101" i="1"/>
  <c r="I101" i="1" s="1"/>
  <c r="H100" i="1"/>
  <c r="I100" i="1" s="1"/>
  <c r="H98" i="1" s="1"/>
  <c r="I98" i="1" s="1"/>
  <c r="H99" i="1"/>
  <c r="I99" i="1" s="1"/>
  <c r="H96" i="1"/>
  <c r="I96" i="1" s="1"/>
  <c r="H95" i="1"/>
  <c r="I95" i="1" s="1"/>
  <c r="H94" i="1"/>
  <c r="I94" i="1" s="1"/>
  <c r="I93" i="1"/>
  <c r="H93" i="1"/>
  <c r="I92" i="1"/>
  <c r="H92" i="1"/>
  <c r="I91" i="1"/>
  <c r="H91" i="1"/>
  <c r="H90" i="1"/>
  <c r="I90" i="1" s="1"/>
  <c r="H89" i="1"/>
  <c r="I89" i="1" s="1"/>
  <c r="H88" i="1"/>
  <c r="I88" i="1" s="1"/>
  <c r="H87" i="1"/>
  <c r="I87" i="1" s="1"/>
  <c r="H85" i="1"/>
  <c r="I85" i="1" s="1"/>
  <c r="H84" i="1"/>
  <c r="I84" i="1" s="1"/>
  <c r="H83" i="1"/>
  <c r="I83" i="1" s="1"/>
  <c r="H82" i="1"/>
  <c r="I82" i="1" s="1"/>
  <c r="I81" i="1"/>
  <c r="H81" i="1"/>
  <c r="H80" i="1"/>
  <c r="I80" i="1" s="1"/>
  <c r="H79" i="1"/>
  <c r="I79" i="1" s="1"/>
  <c r="H78" i="1"/>
  <c r="I78" i="1" s="1"/>
  <c r="H76" i="1"/>
  <c r="I76" i="1" s="1"/>
  <c r="I75" i="1"/>
  <c r="H75" i="1"/>
  <c r="H74" i="1"/>
  <c r="I74" i="1" s="1"/>
  <c r="I73" i="1"/>
  <c r="H73" i="1"/>
  <c r="I72" i="1"/>
  <c r="H72" i="1"/>
  <c r="I71" i="1"/>
  <c r="H71" i="1"/>
  <c r="I70" i="1"/>
  <c r="H70" i="1"/>
  <c r="H69" i="1"/>
  <c r="I69" i="1" s="1"/>
  <c r="I68" i="1"/>
  <c r="H67" i="1" s="1"/>
  <c r="I67" i="1" s="1"/>
  <c r="H68" i="1"/>
  <c r="H66" i="1"/>
  <c r="I66" i="1" s="1"/>
  <c r="H65" i="1"/>
  <c r="I65" i="1" s="1"/>
  <c r="I64" i="1"/>
  <c r="H64" i="1"/>
  <c r="H63" i="1"/>
  <c r="I63" i="1" s="1"/>
  <c r="H62" i="1"/>
  <c r="I62" i="1" s="1"/>
  <c r="H61" i="1"/>
  <c r="I61" i="1" s="1"/>
  <c r="H60" i="1"/>
  <c r="I60" i="1" s="1"/>
  <c r="H58" i="1"/>
  <c r="I58" i="1" s="1"/>
  <c r="H57" i="1"/>
  <c r="I57" i="1" s="1"/>
  <c r="H56" i="1"/>
  <c r="I56" i="1" s="1"/>
  <c r="I55" i="1"/>
  <c r="H55" i="1"/>
  <c r="H54" i="1"/>
  <c r="I54" i="1" s="1"/>
  <c r="I52" i="1"/>
  <c r="H52" i="1"/>
  <c r="H51" i="1"/>
  <c r="I51" i="1" s="1"/>
  <c r="H50" i="1"/>
  <c r="I50" i="1" s="1"/>
  <c r="H49" i="1"/>
  <c r="I49" i="1" s="1"/>
  <c r="H48" i="1"/>
  <c r="I48" i="1" s="1"/>
  <c r="H47" i="1"/>
  <c r="I47" i="1" s="1"/>
  <c r="H45" i="1"/>
  <c r="I45" i="1" s="1"/>
  <c r="H44" i="1"/>
  <c r="I44" i="1" s="1"/>
  <c r="H43" i="1"/>
  <c r="I43" i="1" s="1"/>
  <c r="H42" i="1"/>
  <c r="I42" i="1" s="1"/>
  <c r="H41" i="1"/>
  <c r="I41" i="1" s="1"/>
  <c r="I40" i="1"/>
  <c r="H40" i="1"/>
  <c r="I37" i="1"/>
  <c r="H37" i="1"/>
  <c r="I36" i="1"/>
  <c r="H36" i="1"/>
  <c r="H35" i="1"/>
  <c r="I35" i="1" s="1"/>
  <c r="H34" i="1"/>
  <c r="I34" i="1" s="1"/>
  <c r="I33" i="1"/>
  <c r="H33" i="1"/>
  <c r="I32" i="1"/>
  <c r="H32" i="1"/>
  <c r="H31" i="1"/>
  <c r="I31" i="1" s="1"/>
  <c r="I30" i="1"/>
  <c r="H30" i="1"/>
  <c r="H29" i="1"/>
  <c r="I29" i="1" s="1"/>
  <c r="H26" i="1"/>
  <c r="I26" i="1" s="1"/>
  <c r="H25" i="1"/>
  <c r="I25" i="1" s="1"/>
  <c r="H24" i="1"/>
  <c r="I24" i="1" s="1"/>
  <c r="H23" i="1"/>
  <c r="I23" i="1" s="1"/>
  <c r="I21" i="1"/>
  <c r="H21" i="1"/>
  <c r="H20" i="1"/>
  <c r="I20" i="1" s="1"/>
  <c r="H19" i="1"/>
  <c r="I19" i="1" s="1"/>
  <c r="H18" i="1"/>
  <c r="I18" i="1" s="1"/>
  <c r="I17" i="1"/>
  <c r="H17" i="1"/>
  <c r="H16" i="1"/>
  <c r="I16" i="1" s="1"/>
  <c r="I15" i="1"/>
  <c r="H15" i="1"/>
  <c r="H14" i="1"/>
  <c r="I14" i="1" s="1"/>
  <c r="H208" i="1" l="1"/>
  <c r="I208" i="1" s="1"/>
  <c r="H194" i="1"/>
  <c r="I194" i="1" s="1"/>
  <c r="H270" i="1"/>
  <c r="I270" i="1" s="1"/>
  <c r="H117" i="1"/>
  <c r="I117" i="1" s="1"/>
  <c r="H28" i="1"/>
  <c r="I28" i="1" s="1"/>
  <c r="H308" i="1"/>
  <c r="I308" i="1" s="1"/>
  <c r="H104" i="1"/>
  <c r="I104" i="1" s="1"/>
  <c r="H147" i="1"/>
  <c r="I147" i="1" s="1"/>
  <c r="H169" i="1"/>
  <c r="I169" i="1" s="1"/>
  <c r="H39" i="1"/>
  <c r="I39" i="1" s="1"/>
  <c r="H211" i="1"/>
  <c r="I211" i="1" s="1"/>
  <c r="H207" i="1" s="1"/>
  <c r="I207" i="1" s="1"/>
  <c r="H343" i="1"/>
  <c r="I343" i="1" s="1"/>
  <c r="H230" i="1"/>
  <c r="I230" i="1" s="1"/>
  <c r="H240" i="1"/>
  <c r="I240" i="1" s="1"/>
  <c r="H284" i="1"/>
  <c r="I284" i="1" s="1"/>
  <c r="H301" i="1"/>
  <c r="I301" i="1" s="1"/>
  <c r="H138" i="1"/>
  <c r="I138" i="1" s="1"/>
  <c r="H336" i="1"/>
  <c r="I336" i="1" s="1"/>
  <c r="H46" i="1"/>
  <c r="I46" i="1" s="1"/>
  <c r="H86" i="1"/>
  <c r="I86" i="1" s="1"/>
  <c r="H59" i="1"/>
  <c r="I59" i="1" s="1"/>
  <c r="H13" i="1"/>
  <c r="I13" i="1" s="1"/>
  <c r="H129" i="1"/>
  <c r="I129" i="1" s="1"/>
  <c r="H114" i="1"/>
  <c r="I114" i="1" s="1"/>
  <c r="H190" i="1"/>
  <c r="I190" i="1" s="1"/>
  <c r="H77" i="1"/>
  <c r="I77" i="1" s="1"/>
  <c r="H165" i="1"/>
  <c r="I165" i="1" s="1"/>
  <c r="H228" i="1"/>
  <c r="I228" i="1" s="1"/>
  <c r="H350" i="1"/>
  <c r="I350" i="1" s="1"/>
  <c r="H341" i="1"/>
  <c r="I341" i="1" s="1"/>
  <c r="H294" i="1"/>
  <c r="I294" i="1" s="1"/>
  <c r="H124" i="1"/>
  <c r="I124" i="1" s="1"/>
  <c r="H53" i="1"/>
  <c r="I53" i="1" s="1"/>
  <c r="H250" i="1"/>
  <c r="I250" i="1" s="1"/>
  <c r="H356" i="1"/>
  <c r="I356" i="1" s="1"/>
  <c r="H347" i="1"/>
  <c r="I347" i="1" s="1"/>
  <c r="H358" i="1"/>
  <c r="I358" i="1" s="1"/>
  <c r="H27" i="1" l="1"/>
  <c r="I27" i="1" s="1"/>
  <c r="H335" i="1"/>
  <c r="I335" i="1" s="1"/>
  <c r="H227" i="1"/>
  <c r="I227" i="1" s="1"/>
  <c r="H38" i="1"/>
  <c r="I38" i="1" s="1"/>
  <c r="H97" i="1"/>
  <c r="I97" i="1" s="1"/>
  <c r="H164" i="1"/>
  <c r="I164" i="1" s="1"/>
  <c r="H128" i="1" s="1"/>
  <c r="I128" i="1" s="1"/>
  <c r="H22" i="1" l="1"/>
  <c r="I22" i="1" s="1"/>
  <c r="I361" i="1" s="1"/>
  <c r="J10" i="1" l="1"/>
  <c r="J346" i="1" l="1"/>
  <c r="J286" i="1"/>
  <c r="J90" i="1"/>
  <c r="J281" i="1"/>
  <c r="J105" i="1"/>
  <c r="J206" i="1"/>
  <c r="J320" i="1"/>
  <c r="J173" i="1"/>
  <c r="J309" i="1"/>
  <c r="J235" i="1"/>
  <c r="J217" i="1"/>
  <c r="J182" i="1"/>
  <c r="J65" i="1"/>
  <c r="J64" i="1"/>
  <c r="J66" i="1"/>
  <c r="J288" i="1"/>
  <c r="J180" i="1"/>
  <c r="J135" i="1"/>
  <c r="J145" i="1"/>
  <c r="J100" i="1"/>
  <c r="J37" i="1"/>
  <c r="J55" i="1"/>
  <c r="J102" i="1"/>
  <c r="J261" i="1"/>
  <c r="J231" i="1"/>
  <c r="J220" i="1"/>
  <c r="J41" i="1"/>
  <c r="J254" i="1"/>
  <c r="J201" i="1"/>
  <c r="J42" i="1"/>
  <c r="J63" i="1"/>
  <c r="J122" i="1"/>
  <c r="J204" i="1"/>
  <c r="J32" i="1"/>
  <c r="J316" i="1"/>
  <c r="J83" i="1"/>
  <c r="J333" i="1"/>
  <c r="J143" i="1"/>
  <c r="J314" i="1"/>
  <c r="J70" i="1"/>
  <c r="J156" i="1"/>
  <c r="J149" i="1"/>
  <c r="J168" i="1"/>
  <c r="J69" i="1"/>
  <c r="J16" i="1"/>
  <c r="J327" i="1"/>
  <c r="J74" i="1"/>
  <c r="J317" i="1"/>
  <c r="J297" i="1"/>
  <c r="J94" i="1"/>
  <c r="J330" i="1"/>
  <c r="J353" i="1"/>
  <c r="J15" i="1"/>
  <c r="J133" i="1"/>
  <c r="J157" i="1"/>
  <c r="J234" i="1"/>
  <c r="J256" i="1"/>
  <c r="J213" i="1"/>
  <c r="J339" i="1"/>
  <c r="J151" i="1"/>
  <c r="J312" i="1"/>
  <c r="J328" i="1"/>
  <c r="J298" i="1"/>
  <c r="J98" i="1"/>
  <c r="J315" i="1"/>
  <c r="J84" i="1"/>
  <c r="J34" i="1"/>
  <c r="J192" i="1"/>
  <c r="J107" i="1"/>
  <c r="J112" i="1"/>
  <c r="J359" i="1"/>
  <c r="J30" i="1"/>
  <c r="J146" i="1"/>
  <c r="J170" i="1"/>
  <c r="J215" i="1"/>
  <c r="J88" i="1"/>
  <c r="J290" i="1"/>
  <c r="J161" i="1"/>
  <c r="J267" i="1"/>
  <c r="J223" i="1"/>
  <c r="J229" i="1"/>
  <c r="J342" i="1"/>
  <c r="J187" i="1"/>
  <c r="J216" i="1"/>
  <c r="J233" i="1"/>
  <c r="J222" i="1"/>
  <c r="J26" i="1"/>
  <c r="J279" i="1"/>
  <c r="J103" i="1"/>
  <c r="J273" i="1"/>
  <c r="J259" i="1"/>
  <c r="J54" i="1"/>
  <c r="J232" i="1"/>
  <c r="J198" i="1"/>
  <c r="J126" i="1"/>
  <c r="J140" i="1"/>
  <c r="J45" i="1"/>
  <c r="J61" i="1"/>
  <c r="J280" i="1"/>
  <c r="J306" i="1"/>
  <c r="J60" i="1"/>
  <c r="J144" i="1"/>
  <c r="J285" i="1"/>
  <c r="J109" i="1"/>
  <c r="J248" i="1"/>
  <c r="J141" i="1"/>
  <c r="J89" i="1"/>
  <c r="J131" i="1"/>
  <c r="J120" i="1"/>
  <c r="J160" i="1"/>
  <c r="J189" i="1"/>
  <c r="J106" i="1"/>
  <c r="J348" i="1"/>
  <c r="J113" i="1"/>
  <c r="J185" i="1"/>
  <c r="J178" i="1"/>
  <c r="J73" i="1"/>
  <c r="J57" i="1"/>
  <c r="J134" i="1"/>
  <c r="J214" i="1"/>
  <c r="J354" i="1"/>
  <c r="J283" i="1"/>
  <c r="J163" i="1"/>
  <c r="J119" i="1"/>
  <c r="J52" i="1"/>
  <c r="J271" i="1"/>
  <c r="J110" i="1"/>
  <c r="J40" i="1"/>
  <c r="J263" i="1"/>
  <c r="J241" i="1"/>
  <c r="J81" i="1"/>
  <c r="J17" i="1"/>
  <c r="J36" i="1"/>
  <c r="J236" i="1"/>
  <c r="J299" i="1"/>
  <c r="J239" i="1"/>
  <c r="J293" i="1"/>
  <c r="J172" i="1"/>
  <c r="J200" i="1"/>
  <c r="J349" i="1"/>
  <c r="J338" i="1"/>
  <c r="J142" i="1"/>
  <c r="J357" i="1"/>
  <c r="J225" i="1"/>
  <c r="J118" i="1"/>
  <c r="J269" i="1"/>
  <c r="J125" i="1"/>
  <c r="J43" i="1"/>
  <c r="J209" i="1"/>
  <c r="J203" i="1"/>
  <c r="J289" i="1"/>
  <c r="J116" i="1"/>
  <c r="J181" i="1"/>
  <c r="J62" i="1"/>
  <c r="J205" i="1"/>
  <c r="J21" i="1"/>
  <c r="J274" i="1"/>
  <c r="J266" i="1"/>
  <c r="J300" i="1"/>
  <c r="J25" i="1"/>
  <c r="J47" i="1"/>
  <c r="J121" i="1"/>
  <c r="J321" i="1"/>
  <c r="J152" i="1"/>
  <c r="J219" i="1"/>
  <c r="J29" i="1"/>
  <c r="J71" i="1"/>
  <c r="J35" i="1"/>
  <c r="J237" i="1"/>
  <c r="J136" i="1"/>
  <c r="J80" i="1"/>
  <c r="J244" i="1"/>
  <c r="J56" i="1"/>
  <c r="J85" i="1"/>
  <c r="J268" i="1"/>
  <c r="J167" i="1"/>
  <c r="J127" i="1"/>
  <c r="J323" i="1"/>
  <c r="J183" i="1"/>
  <c r="J130" i="1"/>
  <c r="J67" i="1"/>
  <c r="J188" i="1"/>
  <c r="J257" i="1"/>
  <c r="J246" i="1"/>
  <c r="J33" i="1"/>
  <c r="J50" i="1"/>
  <c r="J91" i="1"/>
  <c r="J202" i="1"/>
  <c r="J332" i="1"/>
  <c r="J96" i="1"/>
  <c r="J218" i="1"/>
  <c r="J58" i="1"/>
  <c r="J311" i="1"/>
  <c r="J162" i="1"/>
  <c r="J326" i="1"/>
  <c r="J20" i="1"/>
  <c r="J111" i="1"/>
  <c r="J82" i="1"/>
  <c r="J329" i="1"/>
  <c r="J51" i="1"/>
  <c r="J224" i="1"/>
  <c r="J23" i="1"/>
  <c r="J75" i="1"/>
  <c r="J351" i="1"/>
  <c r="J99" i="1"/>
  <c r="J226" i="1"/>
  <c r="J305" i="1"/>
  <c r="J310" i="1"/>
  <c r="J93" i="1"/>
  <c r="J291" i="1"/>
  <c r="J153" i="1"/>
  <c r="J282" i="1"/>
  <c r="J137" i="1"/>
  <c r="J318" i="1"/>
  <c r="J199" i="1"/>
  <c r="J196" i="1"/>
  <c r="J159" i="1"/>
  <c r="J337" i="1"/>
  <c r="J262" i="1"/>
  <c r="J295" i="1"/>
  <c r="J272" i="1"/>
  <c r="J344" i="1"/>
  <c r="J322" i="1"/>
  <c r="J95" i="1"/>
  <c r="J324" i="1"/>
  <c r="J319" i="1"/>
  <c r="J252" i="1"/>
  <c r="J68" i="1"/>
  <c r="J31" i="1"/>
  <c r="J334" i="1"/>
  <c r="J92" i="1"/>
  <c r="J208" i="1"/>
  <c r="J186" i="1"/>
  <c r="J14" i="1"/>
  <c r="J264" i="1"/>
  <c r="J345" i="1"/>
  <c r="J212" i="1"/>
  <c r="J101" i="1"/>
  <c r="J296" i="1"/>
  <c r="J249" i="1"/>
  <c r="J155" i="1"/>
  <c r="J352" i="1"/>
  <c r="J44" i="1"/>
  <c r="J265" i="1"/>
  <c r="J115" i="1"/>
  <c r="J245" i="1"/>
  <c r="J325" i="1"/>
  <c r="J278" i="1"/>
  <c r="J175" i="1"/>
  <c r="J313" i="1"/>
  <c r="J76" i="1"/>
  <c r="J253" i="1"/>
  <c r="J19" i="1"/>
  <c r="J139" i="1"/>
  <c r="J18" i="1"/>
  <c r="J191" i="1"/>
  <c r="J340" i="1"/>
  <c r="J307" i="1"/>
  <c r="J176" i="1"/>
  <c r="J87" i="1"/>
  <c r="J238" i="1"/>
  <c r="J174" i="1"/>
  <c r="J171" i="1"/>
  <c r="J177" i="1"/>
  <c r="J331" i="1"/>
  <c r="J72" i="1"/>
  <c r="J154" i="1"/>
  <c r="J150" i="1"/>
  <c r="J221" i="1"/>
  <c r="J148" i="1"/>
  <c r="J355" i="1"/>
  <c r="J179" i="1"/>
  <c r="J166" i="1"/>
  <c r="J24" i="1"/>
  <c r="J242" i="1"/>
  <c r="J243" i="1"/>
  <c r="J195" i="1"/>
  <c r="J260" i="1"/>
  <c r="J251" i="1"/>
  <c r="J48" i="1"/>
  <c r="J304" i="1"/>
  <c r="J78" i="1"/>
  <c r="J277" i="1"/>
  <c r="J197" i="1"/>
  <c r="J303" i="1"/>
  <c r="J287" i="1"/>
  <c r="J302" i="1"/>
  <c r="J184" i="1"/>
  <c r="J132" i="1"/>
  <c r="J275" i="1"/>
  <c r="J123" i="1"/>
  <c r="J247" i="1"/>
  <c r="J49" i="1"/>
  <c r="J193" i="1"/>
  <c r="J255" i="1"/>
  <c r="J210" i="1"/>
  <c r="J158" i="1"/>
  <c r="J258" i="1"/>
  <c r="J292" i="1"/>
  <c r="J108" i="1"/>
  <c r="J276" i="1"/>
  <c r="J79" i="1"/>
  <c r="J284" i="1"/>
  <c r="J228" i="1"/>
  <c r="J347" i="1"/>
  <c r="J86" i="1"/>
  <c r="J230" i="1"/>
  <c r="J350" i="1"/>
  <c r="J165" i="1"/>
  <c r="J147" i="1"/>
  <c r="J114" i="1"/>
  <c r="J301" i="1"/>
  <c r="J46" i="1"/>
  <c r="J13" i="1"/>
  <c r="J207" i="1"/>
  <c r="J343" i="1"/>
  <c r="J336" i="1"/>
  <c r="J104" i="1"/>
  <c r="J211" i="1"/>
  <c r="J117" i="1"/>
  <c r="J294" i="1"/>
  <c r="J250" i="1"/>
  <c r="J194" i="1"/>
  <c r="J138" i="1"/>
  <c r="J59" i="1"/>
  <c r="J169" i="1"/>
  <c r="J358" i="1"/>
  <c r="J77" i="1"/>
  <c r="J190" i="1"/>
  <c r="J356" i="1"/>
  <c r="J240" i="1"/>
  <c r="J270" i="1"/>
  <c r="J124" i="1"/>
  <c r="J28" i="1"/>
  <c r="J39" i="1"/>
  <c r="J129" i="1"/>
  <c r="J341" i="1"/>
  <c r="J53" i="1"/>
  <c r="J308" i="1"/>
  <c r="J38" i="1"/>
  <c r="J128" i="1"/>
  <c r="J97" i="1"/>
  <c r="J335" i="1"/>
  <c r="J27" i="1"/>
  <c r="J227" i="1"/>
  <c r="J164" i="1"/>
  <c r="J22" i="1"/>
</calcChain>
</file>

<file path=xl/sharedStrings.xml><?xml version="1.0" encoding="utf-8"?>
<sst xmlns="http://schemas.openxmlformats.org/spreadsheetml/2006/main" count="1832" uniqueCount="1024">
  <si>
    <t>Valor Final do Orçamento</t>
  </si>
  <si>
    <t>BDI</t>
  </si>
  <si>
    <t>Item</t>
  </si>
  <si>
    <t>Código</t>
  </si>
  <si>
    <t>Banco</t>
  </si>
  <si>
    <t>Descrição</t>
  </si>
  <si>
    <t>Und</t>
  </si>
  <si>
    <t>Quant.</t>
  </si>
  <si>
    <t>Valor Unit</t>
  </si>
  <si>
    <t>Valor Unit com BDI</t>
  </si>
  <si>
    <t>Total</t>
  </si>
  <si>
    <t>Peso (%)</t>
  </si>
  <si>
    <t xml:space="preserve"> 1 </t>
  </si>
  <si>
    <t xml:space="preserve">  </t>
  </si>
  <si>
    <t>SERVIÇOS PRELIMINARES</t>
  </si>
  <si>
    <t/>
  </si>
  <si>
    <t xml:space="preserve"> 1.1 </t>
  </si>
  <si>
    <t xml:space="preserve"> ED-16670 </t>
  </si>
  <si>
    <t>SETOP</t>
  </si>
  <si>
    <t>PLACA DE OBRA EM CHAPA GALVANIZADA ENRIJECIDA, PLOTADA COM ADESIVO VINÍLICO, FIXADA COM REBITES 4,8X40MM, EM ESTRUTURA METÁLICA DE METALON 20X20MM, ESP. 1,25MM, EXCLUSIVE SUPORTE EM EUCALIPTO   PADRÃO GOVERNO DE MINAS GERAIS (FORNECIMENTO/FABRICAÇÃO)</t>
  </si>
  <si>
    <t>m²</t>
  </si>
  <si>
    <t xml:space="preserve"> 1.2 </t>
  </si>
  <si>
    <t xml:space="preserve"> C1630 </t>
  </si>
  <si>
    <t>SEINFRA</t>
  </si>
  <si>
    <t>LOCAÇÃO DA OBRA - EXECUÇÃO DE GABARITO</t>
  </si>
  <si>
    <t xml:space="preserve"> 1.3 </t>
  </si>
  <si>
    <t xml:space="preserve"> 98525 </t>
  </si>
  <si>
    <t>SINAPI</t>
  </si>
  <si>
    <t>LIMPEZA MECANIZADA DE CAMADA VEGETAL, VEGETAÇÃO E PEQUENAS ÁRVORES (DIÂMETRO DE TRONCO MENOR QUE 0,20 M), COM TRATOR DE ESTEIRAS. AF_03/2024</t>
  </si>
  <si>
    <t xml:space="preserve"> 1.4 </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</si>
  <si>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</si>
  <si>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</si>
  <si>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</si>
  <si>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 xml:space="preserve"> 1.5 </t>
  </si>
  <si>
    <t xml:space="preserve"> ED-51125 </t>
  </si>
  <si>
    <t>TRANSPORTE DE MATERIAL DEMOLIDO EM CAÇAMBA, EXCLUSIVE CARGA MANUAL OU MECÂNICA</t>
  </si>
  <si>
    <t>m³</t>
  </si>
  <si>
    <t xml:space="preserve"> 1.6 </t>
  </si>
  <si>
    <t xml:space="preserve"> ED-51131 </t>
  </si>
  <si>
    <t>CARGA MANUAL DE MATERIAL DE QUALQUER NATUREZA SOBRE CAMINHÃO, EXCLUSIVE TRANSPORTE</t>
  </si>
  <si>
    <t xml:space="preserve"> 1.7 </t>
  </si>
  <si>
    <t xml:space="preserve"> ED-9076 </t>
  </si>
  <si>
    <t>FORNECIMENTO DE ANDAIME METÁLICO TUBULAR TIPO TORRE (LOCAÇÃO), INCLUSIVE RODÍZIOS, EXCLUSIVE MONTAGEM E DESMONTAGEM</t>
  </si>
  <si>
    <t>mxmês</t>
  </si>
  <si>
    <t xml:space="preserve"> 1.8 </t>
  </si>
  <si>
    <t xml:space="preserve"> ED-9077 </t>
  </si>
  <si>
    <t>MONTAGEM E DESMONTAGEM DE ANDAIME METÁLICO TUBULAR TIPO TORRE, EXCLUSIVE FORNECIMENTO DO ANDAIME</t>
  </si>
  <si>
    <t>m</t>
  </si>
  <si>
    <t xml:space="preserve"> 2 </t>
  </si>
  <si>
    <t>QUADRA COBERTA</t>
  </si>
  <si>
    <t xml:space="preserve"> 2.1 </t>
  </si>
  <si>
    <t>MOVIMENTO DE TERRA PARA FUNDAÇÕES</t>
  </si>
  <si>
    <t xml:space="preserve"> 2.1.1 </t>
  </si>
  <si>
    <t xml:space="preserve"> 96525 </t>
  </si>
  <si>
    <t>ESCAVAÇÃO MECANIZADA PARA VIGA BALDRAME OU SAPATA CORRIDA COM MINI-ESCAVADEIRA (INCLUINDO ESCAVAÇÃO PARA COLOCAÇÃO DE FÔRMAS). AF_01/2024</t>
  </si>
  <si>
    <t xml:space="preserve"> 2.1.2 </t>
  </si>
  <si>
    <t xml:space="preserve"> ED-51094 </t>
  </si>
  <si>
    <t>APILOAMENTO MECANIZADO EM FUNDO DE VALA COM PLACA VIBRATÓRIA, EXCLUSIVE ESCAVAÇÃO</t>
  </si>
  <si>
    <t xml:space="preserve"> 2.1.3 </t>
  </si>
  <si>
    <t xml:space="preserve"> 93381 </t>
  </si>
  <si>
    <t>REATERRO MECANIZADO DE VALA COM RETROESCAVADEIRA (CAPACIDADE DA CAÇAMBA   DA RETRO: 0,26 M³/POTÊNCIA: 88 HP), LARGURA 0,8 A 1,5 M, PROFUNDIDADE 1,5 A 3,0 M, COM SOLO (SEM SUBSTITUIÇÃO) DE 1ª CATEGORIA E COMPACTADOR DE SOLOS DE PERCUSSÃO. AF_08/2023</t>
  </si>
  <si>
    <t xml:space="preserve"> 2.2 </t>
  </si>
  <si>
    <t>FUNDAÇÕES</t>
  </si>
  <si>
    <t xml:space="preserve"> 2.2.1 </t>
  </si>
  <si>
    <t>CONCRETO ARMADO PARA FUNDAÇÕES - BLOCOS</t>
  </si>
  <si>
    <t xml:space="preserve"> 2.2.1.1 </t>
  </si>
  <si>
    <t xml:space="preserve"> 100896 </t>
  </si>
  <si>
    <t>ESTACA ESCAVADA MECANICAMENTE, SEM FLUIDO ESTABILIZANTE, COM 25CM DE DIÂMETRO, CONCRETO LANÇADO POR CAMINHÃO BETONEIRA (EXCLUSIVE MOBILIZAÇÃO E DESMOBILIZAÇÃO). AF_01/2020</t>
  </si>
  <si>
    <t>M</t>
  </si>
  <si>
    <t xml:space="preserve"> 2.2.1.2 </t>
  </si>
  <si>
    <t xml:space="preserve"> 96619 </t>
  </si>
  <si>
    <t>LASTRO DE CONCRETO MAGRO, APLICADO EM BLOCOS DE COROAMENTO OU SAPATAS, ESPESSURA DE 5 CM. AF_01/2024</t>
  </si>
  <si>
    <t xml:space="preserve"> 2.2.1.3 </t>
  </si>
  <si>
    <t xml:space="preserve"> ED-49811 </t>
  </si>
  <si>
    <t>FÔRMA E DESFORMA PARA VIGA CINTA/BLOCO COM COMPENSADO RESINADO, ESP. 12MM, REAPROVEITAMENTO (3X) (FUNDAÇÃO)</t>
  </si>
  <si>
    <t xml:space="preserve"> 2.2.1.4 </t>
  </si>
  <si>
    <t xml:space="preserve"> ED-29549 </t>
  </si>
  <si>
    <t>CORTE, DOBRA E MONTAGEM DE AÇO CA 50, DIÂMETRO 6,3MM, INCLUSIVE ESPAÇADOR</t>
  </si>
  <si>
    <t>Kg</t>
  </si>
  <si>
    <t xml:space="preserve"> 2.2.1.5 </t>
  </si>
  <si>
    <t xml:space="preserve"> ED-29550 </t>
  </si>
  <si>
    <t>CORTE, DOBRA E MONTAGEM DE AÇO CA 50, DIÂMETRO 8MM, INCLUSIVE ESPAÇADOR</t>
  </si>
  <si>
    <t xml:space="preserve"> 2.2.1.6 </t>
  </si>
  <si>
    <t xml:space="preserve"> ED-29551 </t>
  </si>
  <si>
    <t>CORTE, DOBRA E MONTAGEM DE AÇO CA 50, DIÂMETRO 10MM, INCLUSIVE ESPAÇADOR</t>
  </si>
  <si>
    <t xml:space="preserve"> 2.2.1.7 </t>
  </si>
  <si>
    <t xml:space="preserve"> ED-29552 </t>
  </si>
  <si>
    <t>CORTE, DOBRA E MONTAGEM DE AÇO CA 50, DIÂMETRO 12,5MM, INCLUSIVE ESPAÇADOR</t>
  </si>
  <si>
    <t xml:space="preserve"> 2.2.1.8 </t>
  </si>
  <si>
    <t xml:space="preserve"> ED-48297 </t>
  </si>
  <si>
    <t>CORTE, DOBRA E MONTAGEM DE AÇO CA 60, DIÂMETRO (4,2MM A 5,0MM), INCLUSIVE ESPAÇADOR</t>
  </si>
  <si>
    <t xml:space="preserve"> 2.2.1.9 </t>
  </si>
  <si>
    <t xml:space="preserve"> ED-49639 </t>
  </si>
  <si>
    <t>FORNECIMENTO DE CONCRETO ESTRUTURAL, USINADO BOMBEADO, COM FCK 30MPA, INCLUSIVE LANÇAMENTO, ADENSAMENTO E ACABAMENTO</t>
  </si>
  <si>
    <t xml:space="preserve"> 2.3 </t>
  </si>
  <si>
    <t>SUPERESTRUTURA</t>
  </si>
  <si>
    <t xml:space="preserve"> 2.3.1 </t>
  </si>
  <si>
    <t>CONCRETO ARMADO - PILARES</t>
  </si>
  <si>
    <t xml:space="preserve"> 2.3.1.1 </t>
  </si>
  <si>
    <t xml:space="preserve"> ED-49647 </t>
  </si>
  <si>
    <t>FÔRMA E DESFORMA DE COMPENSADO PLASTIFICADO, ESP. 12MM, REAPROVEITAMENTO (5X), EXCLUSIVE ESCORAMENTO</t>
  </si>
  <si>
    <t xml:space="preserve"> 2.3.1.2 </t>
  </si>
  <si>
    <t xml:space="preserve"> 2.3.1.3 </t>
  </si>
  <si>
    <t xml:space="preserve"> 2.3.1.4 </t>
  </si>
  <si>
    <t xml:space="preserve"> 2.3.1.5 </t>
  </si>
  <si>
    <t xml:space="preserve"> 2.3.1.6 </t>
  </si>
  <si>
    <t xml:space="preserve"> ED-49638 </t>
  </si>
  <si>
    <t>FORNECIMENTO DE CONCRETO ESTRUTURAL, USINADO BOMBEADO, COM FCK 25MPA, INCLUSIVE LANÇAMENTO, ADENSAMENTO E ACABAMENTO</t>
  </si>
  <si>
    <t xml:space="preserve"> 2.3.2 </t>
  </si>
  <si>
    <t>CONCRETO ARMADO - VIGAS</t>
  </si>
  <si>
    <t xml:space="preserve"> 2.3.2.1 </t>
  </si>
  <si>
    <t xml:space="preserve"> 2.3.2.2 </t>
  </si>
  <si>
    <t xml:space="preserve"> 2.3.2.3 </t>
  </si>
  <si>
    <t xml:space="preserve"> 2.3.2.4 </t>
  </si>
  <si>
    <t xml:space="preserve"> ED-9052 </t>
  </si>
  <si>
    <t>FORNECIMENTO DE CONCRETO ESTRUTURAL, USINADO BOMBEADO, AUTO ADENSÁVEL, COM FCK 20MPA, INCLUSIVE LANÇAMENTO E ACABAMENTO</t>
  </si>
  <si>
    <t xml:space="preserve"> 2.3.3 </t>
  </si>
  <si>
    <t>ESTRUTURA METÁLICA</t>
  </si>
  <si>
    <t xml:space="preserve"> 2.3.3.1 </t>
  </si>
  <si>
    <t xml:space="preserve"> 150204 </t>
  </si>
  <si>
    <t>AGETOP CIVIL</t>
  </si>
  <si>
    <t>ESTRUTURA METÁLICA CONVENCIONAL EM AÇO DO TIPO ASTM A36 COM FUNDO ANTICORROSIVO</t>
  </si>
  <si>
    <t xml:space="preserve"> 2.4 </t>
  </si>
  <si>
    <t>SISTEMAS DE COBERTURA</t>
  </si>
  <si>
    <t xml:space="preserve"> 2.4.1 </t>
  </si>
  <si>
    <t xml:space="preserve"> 94213 </t>
  </si>
  <si>
    <t>TELHAMENTO COM TELHA DE AÇO/ALUMÍNIO E = 0,5 MM, COM ATÉ 2 ÁGUAS, INCLUSO IÇAMENTO. AF_07/2019</t>
  </si>
  <si>
    <t xml:space="preserve"> 2.4.2 </t>
  </si>
  <si>
    <t xml:space="preserve"> 2.4.3 </t>
  </si>
  <si>
    <t xml:space="preserve"> 2.4.4 </t>
  </si>
  <si>
    <t xml:space="preserve"> 2.4.5 </t>
  </si>
  <si>
    <t xml:space="preserve"> C0993 </t>
  </si>
  <si>
    <t>CUMEEIRA DE ALUMÍNIO E=0.8mm</t>
  </si>
  <si>
    <t xml:space="preserve"> 2.5 </t>
  </si>
  <si>
    <t>PISOS</t>
  </si>
  <si>
    <t xml:space="preserve"> 2.5.1 </t>
  </si>
  <si>
    <t xml:space="preserve"> RO-00229 </t>
  </si>
  <si>
    <t>Compactação manual com placa vibratória</t>
  </si>
  <si>
    <t xml:space="preserve"> 2.5.2 </t>
  </si>
  <si>
    <t xml:space="preserve"> ED-49813 </t>
  </si>
  <si>
    <t>LASTRO DE BRITA COM PEDRA BRITADA NÚMERO 2 E 3, INCLUSIVE ADENSAMENTO E APILOAMENTO MANUAL</t>
  </si>
  <si>
    <t xml:space="preserve"> 2.5.3 </t>
  </si>
  <si>
    <t xml:space="preserve"> ED-50600 </t>
  </si>
  <si>
    <t>APLICAÇÃO DE LONA PRETA, ESP. 150 MICRAS, INCLUSIVE FORNECIMENTO</t>
  </si>
  <si>
    <t xml:space="preserve"> 2.5.4 </t>
  </si>
  <si>
    <t xml:space="preserve"> ED-29581 </t>
  </si>
  <si>
    <t>ARMADURA DE TELA DE AÇO CA 60, SOLDADA TIPO Q 92, DIÂMETRO Ø4,2MM, TRAMA COM DIMENSÃO (150X150)MM, INCLUSIVE ESPAÇADOR, EXCLUSIVE CONCRETO</t>
  </si>
  <si>
    <t xml:space="preserve"> 2.5.5 </t>
  </si>
  <si>
    <t xml:space="preserve"> ED-49805 </t>
  </si>
  <si>
    <t xml:space="preserve"> 2.5.6 </t>
  </si>
  <si>
    <t xml:space="preserve"> ED-50619 </t>
  </si>
  <si>
    <t>POLIMENTO MECANIZADO DE SUPERFÍCIE EM CONCRETO, INCLUSIVE ACABAMENTO DE CONCRETAGEM EM NIVELAMENTO A LASER (NÍVEL ZERO)</t>
  </si>
  <si>
    <t xml:space="preserve"> 2.5.7 </t>
  </si>
  <si>
    <t xml:space="preserve"> 12800 </t>
  </si>
  <si>
    <t>ORSE</t>
  </si>
  <si>
    <t>Junta serrada seca, seção transversal dim. 5 x 10 a 40mm.</t>
  </si>
  <si>
    <t xml:space="preserve"> 2.6 </t>
  </si>
  <si>
    <t>ARQUIBANCADA</t>
  </si>
  <si>
    <t xml:space="preserve"> 2.6.1 </t>
  </si>
  <si>
    <t xml:space="preserve"> ED-51107 </t>
  </si>
  <si>
    <t>ESCAVAÇÃO MANUAL DE VALA COM PROFUNDIDADE MENOR OU IGUAL A 1,5M, INCLUSIVE DESCARGA LATERAL</t>
  </si>
  <si>
    <t xml:space="preserve"> 2.6.2 </t>
  </si>
  <si>
    <t xml:space="preserve"> ED-48295 </t>
  </si>
  <si>
    <t>CORTE, DOBRA E MONTAGEM DE AÇO CA 50, DIÂMETRO (6,3MM A 12,5MM), INCLUSIVE ESPAÇADOR</t>
  </si>
  <si>
    <t xml:space="preserve"> 2.6.3 </t>
  </si>
  <si>
    <t>FORNECIMENTO DE CONCRETO ESTRUTURAL, USINADO BOMBEADO, COM FCK 25MPA, INCLUSIVE LANÇAMENTO, ADENSAMENTO E ACABAMENTO (FUNDAÇÃO)</t>
  </si>
  <si>
    <t xml:space="preserve"> 2.6.4 </t>
  </si>
  <si>
    <t xml:space="preserve"> 050502 </t>
  </si>
  <si>
    <t>IOPES</t>
  </si>
  <si>
    <t>Alvenaria de blocos de concreto estrutural 19x19x39cm cheios "Classe B", com resistência mínima à compressão 15MPa, assentados c/ argamassa de cimento e areia média no traço 1:4, preparo com betoneira, esp. juntas 10mm e esp. da parede s/ revestimento 19cm</t>
  </si>
  <si>
    <t xml:space="preserve"> 2.6.5 </t>
  </si>
  <si>
    <t xml:space="preserve"> ED-50174 </t>
  </si>
  <si>
    <t>IMPERMEABILIZAÇÃO COM EMULSÃO ASFÁLTICA, DUAS (2) DEMÃOS</t>
  </si>
  <si>
    <t xml:space="preserve"> 2.6.6 </t>
  </si>
  <si>
    <t xml:space="preserve"> 94319 </t>
  </si>
  <si>
    <t>ATERRO MANUAL DE VALAS COM SOLO ARGILO-ARENOSO. AF_08/2023</t>
  </si>
  <si>
    <t xml:space="preserve"> 2.7 </t>
  </si>
  <si>
    <t>REVESTIMENTOS INTERNOS E EXTERNOS</t>
  </si>
  <si>
    <t xml:space="preserve"> 2.7.1 </t>
  </si>
  <si>
    <t xml:space="preserve"> 87543 </t>
  </si>
  <si>
    <t>MASSA ÚNICA, EM ARGAMASSA INDUSTRIALIZADA, PREPARO MECÂNICO, APLICADA COM EQUIPAMENTO DE MISTURA E PROJEÇÃO DE ARGAMASSA EM PAREDES INTERNAS, E = 5MM, SEM TALISCAS. AF_03/2024</t>
  </si>
  <si>
    <t xml:space="preserve"> 2.7.2 </t>
  </si>
  <si>
    <t xml:space="preserve"> 12816 </t>
  </si>
  <si>
    <t>Placa cimentícia e =10mm, para fechamento da fachada (1 lado/face), juntas aparentes, fixada em estrutura metalica, exclusive esta (fornecimento e assentamento)</t>
  </si>
  <si>
    <t xml:space="preserve"> 2.8 </t>
  </si>
  <si>
    <t>GUARDA-CORPO, CORRIMÃO E ALAMBRADO</t>
  </si>
  <si>
    <t xml:space="preserve"> 2.8.1 </t>
  </si>
  <si>
    <t xml:space="preserve"> 180341 </t>
  </si>
  <si>
    <t>GUARDA CORPO EM TUBO INDUSTRIAL DE 2" COM MONTANTES SECUNDÁRIOS DE 1" (SEM CORRIMÃO)</t>
  </si>
  <si>
    <t xml:space="preserve"> 2.8.2 </t>
  </si>
  <si>
    <t xml:space="preserve"> ED-32004 </t>
  </si>
  <si>
    <t>CORRIMÃO DUPLO EM TUBO GALVANIZADO, COM COSTURA, CLASSE LEVE (NBR 5580), DIÂMETRO 1.1/2", ESP. 3MM, COM MONTANTE VERTICAL, DIÂMETRO 1.1/2", INCLUSIVE SUPORTE PARA CORRIMÃO EM BARRA CHATA (1"X1/2"), EXCLUSIVE PINTURA (FORNECIMENTO/FABRICAÇÃO)</t>
  </si>
  <si>
    <t xml:space="preserve"> 2.8.3 </t>
  </si>
  <si>
    <t xml:space="preserve"> 13609 </t>
  </si>
  <si>
    <t>Corrimão duplo em tubo de ferro galvanizado 1 1/2", com chumbadores para fixação em alvenaria</t>
  </si>
  <si>
    <t xml:space="preserve"> 2.8.4 </t>
  </si>
  <si>
    <t xml:space="preserve"> ED-9100 </t>
  </si>
  <si>
    <t>ALAMBRADO PARA QUADRA ESPORTIVA, EM TELA DE ARAME GALVANIZADO COM TRAMA LOSANGULAR DE 2" (50,8MM) E FIO BWG12 (2,77MM), EXCLUSIVE PINTURA, INCLUSIVE FIXAÇÃO E FORNECIMENTO EM QUADROS DE TUBOS DE AÇO CARBONO GALVANIZADO DIÂMETRO DE 50MM (2")</t>
  </si>
  <si>
    <t xml:space="preserve"> 2.8.5 </t>
  </si>
  <si>
    <t xml:space="preserve"> ED-49698 </t>
  </si>
  <si>
    <t>DOBRADIÇA DE FERRO, MEDIDAS (3.1/2"X3"), TIPO PINO SOLTO COM BOLA, ACABAMENTO CROMADO, INCLUSIVE ACESSÓRIOS PARA FIXAÇÃO</t>
  </si>
  <si>
    <t>un</t>
  </si>
  <si>
    <t xml:space="preserve"> 2.8.6 </t>
  </si>
  <si>
    <t xml:space="preserve"> 3533 </t>
  </si>
  <si>
    <t>Trilho para fixação (parte superior) de porta de correr em perfil "u", inclusive roldanas</t>
  </si>
  <si>
    <t xml:space="preserve"> 2.8.7 </t>
  </si>
  <si>
    <t xml:space="preserve"> C1426 </t>
  </si>
  <si>
    <t>GRADE DE FERRO DE PROTEÇÃO</t>
  </si>
  <si>
    <t xml:space="preserve"> 2.8.8 </t>
  </si>
  <si>
    <t xml:space="preserve"> 97029 </t>
  </si>
  <si>
    <t>GUARDA-CORPO EM LAJE PÓS-DESFÔRMA COM MONTANTE METÁLICO FIXADO COM BARRAS DE AÇO ENGASTADAS NA LAJE, CABOS DE AÇO. AF_03/2024</t>
  </si>
  <si>
    <t xml:space="preserve"> 2.9 </t>
  </si>
  <si>
    <t>PINTURAS E ACABAMENTOS</t>
  </si>
  <si>
    <t xml:space="preserve"> 2.9.1 </t>
  </si>
  <si>
    <t xml:space="preserve"> 100739 </t>
  </si>
  <si>
    <t>PINTURA COM TINTA ALQUÍDICA DE ACABAMENTO (ESMALTE SINTÉTICO ACETINADO) PULVERIZADA SOBRE PERFIL METÁLICO EXECUTADO EM FÁBRICA (POR DEMÃO). AF_01/2020_PE</t>
  </si>
  <si>
    <t xml:space="preserve"> 2.9.2 </t>
  </si>
  <si>
    <t xml:space="preserve"> 2.9.3 </t>
  </si>
  <si>
    <t xml:space="preserve"> 2.9.4 </t>
  </si>
  <si>
    <t xml:space="preserve"> 2.9.5 </t>
  </si>
  <si>
    <t xml:space="preserve"> 2.9.6 </t>
  </si>
  <si>
    <t xml:space="preserve"> 100741 </t>
  </si>
  <si>
    <t>PINTURA COM TINTA ALQUÍDICA DE ACABAMENTO (ESMALTE SINTÉTICO ACETINADO) PULVERIZADA SOBRE SUPERFÍCIES METÁLICAS (EXCETO PERFIL) EXECUTADO EM OBRA (POR DEMÃO). AF_01/2020_PE</t>
  </si>
  <si>
    <t xml:space="preserve"> 2.9.7 </t>
  </si>
  <si>
    <t xml:space="preserve"> 2.9.8 </t>
  </si>
  <si>
    <t xml:space="preserve"> ED-9934 </t>
  </si>
  <si>
    <t>PINTURA EPÓXI EM PISO, DUAS (2) DEMÃOS, INCLUSIVE UMA (1) DEMÃO DE PRIMER EPÓXI</t>
  </si>
  <si>
    <t xml:space="preserve"> 2.9.9 </t>
  </si>
  <si>
    <t xml:space="preserve"> ED-50496 </t>
  </si>
  <si>
    <t>PINTURA ESMALTE BASE SOLVENTE EM TUBO GALVANIZADO, DUAS (2) DEMÃOS, COM APLICAÇÃO MANUAL, INCLUSIVE UMA (1) DEMÃO DE FUNDO ANTICORROSIVO</t>
  </si>
  <si>
    <t xml:space="preserve"> 2.9.10 </t>
  </si>
  <si>
    <t xml:space="preserve"> ED-19640 </t>
  </si>
  <si>
    <t>PINTURA ESMALTE BASE SOLVENTE EM GUARDA CORPO, COM OU SEM CORRIMÃO, DUAS (2) DEMÃOS, INCLUSIVE UMA (1) DEMÃO DE FUNDO ANTICORROSIVO</t>
  </si>
  <si>
    <t xml:space="preserve"> 2.10 </t>
  </si>
  <si>
    <t>INSTALAÇÃO ELÉTRICA - 220V</t>
  </si>
  <si>
    <t xml:space="preserve"> 2.10.1 </t>
  </si>
  <si>
    <t>CENTRO DE DISTRIBUIÇÃO</t>
  </si>
  <si>
    <t xml:space="preserve"> 2.10.1.1 </t>
  </si>
  <si>
    <t xml:space="preserve"> 101875 </t>
  </si>
  <si>
    <t>QUADRO DE DISTRIBUIÇÃO DE ENERGIA EM CHAPA DE AÇO GALVANIZADO, DE EMBUTIR, COM BARRAMENTO TRIFÁSICO, PARA 12 DISJUNTORES DIN 100A - FORNECIMENTO E INSTALAÇÃO. AF_10/2020</t>
  </si>
  <si>
    <t>UN</t>
  </si>
  <si>
    <t xml:space="preserve"> 2.10.1.2 </t>
  </si>
  <si>
    <t xml:space="preserve"> 101938 </t>
  </si>
  <si>
    <t>CAIXA DE PROTEÇÃO PARA MEDIDOR MONOFÁSICO DE EMBUTIR - FORNECIMENTO E INSTALAÇÃO. AF_10/2020</t>
  </si>
  <si>
    <t xml:space="preserve"> 2.10.2 </t>
  </si>
  <si>
    <t>DISJUNTORES</t>
  </si>
  <si>
    <t xml:space="preserve"> 2.10.2.1 </t>
  </si>
  <si>
    <t xml:space="preserve"> 93653 </t>
  </si>
  <si>
    <t>DISJUNTOR MONOPOLAR TIPO DIN, CORRENTE NOMINAL DE 10A - FORNECIMENTO E INSTALAÇÃO. AF_10/2020</t>
  </si>
  <si>
    <t xml:space="preserve"> 2.10.2.2 </t>
  </si>
  <si>
    <t xml:space="preserve"> 93654 </t>
  </si>
  <si>
    <t>DISJUNTOR MONOPOLAR TIPO DIN, CORRENTE NOMINAL DE 16A - FORNECIMENTO E INSTALAÇÃO. AF_10/2020</t>
  </si>
  <si>
    <t xml:space="preserve"> 2.10.3 </t>
  </si>
  <si>
    <t>ELETRODUTOS E ACESSORIOS</t>
  </si>
  <si>
    <t xml:space="preserve"> 2.10.3.1 </t>
  </si>
  <si>
    <t xml:space="preserve"> 91863 </t>
  </si>
  <si>
    <t>ELETRODUTO RÍGIDO ROSCÁVEL, PVC, DN 25 MM (3/4"), PARA CIRCUITOS TERMINAIS, INSTALADO EM FORRO - FORNECIMENTO E INSTALAÇÃO. AF_03/2023</t>
  </si>
  <si>
    <t xml:space="preserve"> 2.10.3.2 </t>
  </si>
  <si>
    <t xml:space="preserve"> 91873 </t>
  </si>
  <si>
    <t>ELETRODUTO RÍGIDO ROSCÁVEL, PVC, DN 40 MM (1 1/4"), PARA CIRCUITOS TERMINAIS, INSTALADO EM PAREDE - FORNECIMENTO E INSTALAÇÃO. AF_03/2023</t>
  </si>
  <si>
    <t xml:space="preserve"> 2.10.3.3 </t>
  </si>
  <si>
    <t xml:space="preserve"> 91884 </t>
  </si>
  <si>
    <t>LUVA PARA ELETRODUTO, PVC, ROSCÁVEL, DN 25 MM (3/4"), PARA CIRCUITOS TERMINAIS, INSTALADA EM PAREDE - FORNECIMENTO E INSTALAÇÃO. AF_03/2023</t>
  </si>
  <si>
    <t xml:space="preserve"> 2.10.3.4 </t>
  </si>
  <si>
    <t xml:space="preserve"> 91886 </t>
  </si>
  <si>
    <t>LUVA PARA ELETRODUTO, PVC, ROSCÁVEL, DN 40 MM (1 1/4"), PARA CIRCUITOS TERMINAIS, INSTALADA EM PAREDE - FORNECIMENTO E INSTALAÇÃO. AF_03/2023</t>
  </si>
  <si>
    <t xml:space="preserve"> 2.10.3.5 </t>
  </si>
  <si>
    <t xml:space="preserve"> 91920 </t>
  </si>
  <si>
    <t>CURVA 90 GRAUS PARA ELETRODUTO, PVC, ROSCÁVEL, DN 40 MM (1 1/4"), PARA CIRCUITOS TERMINAIS, INSTALADA EM PAREDE - FORNECIMENTO E INSTALAÇÃO. AF_03/2023</t>
  </si>
  <si>
    <t xml:space="preserve"> 2.10.3.6 </t>
  </si>
  <si>
    <t xml:space="preserve"> 92865 </t>
  </si>
  <si>
    <t>CAIXA OCTOGONAL 4" X 4", METÁLICA, INSTALADA EM LAJE - FORNECIMENTO E INSTALAÇÃO. AF_03/2023</t>
  </si>
  <si>
    <t xml:space="preserve"> 2.10.3.7 </t>
  </si>
  <si>
    <t xml:space="preserve"> C0627 </t>
  </si>
  <si>
    <t>CAIXA DE PASSAGEM COM TAMPA PARAFUSADA 150X150X80mm</t>
  </si>
  <si>
    <t xml:space="preserve"> 2.10.4 </t>
  </si>
  <si>
    <t>CABOS E FIOS (CONDUTORES)</t>
  </si>
  <si>
    <t xml:space="preserve"> 2.10.4.1 </t>
  </si>
  <si>
    <t xml:space="preserve"> 91926 </t>
  </si>
  <si>
    <t>CABO DE COBRE FLEXÍVEL ISOLADO, 2,5 MM², ANTI-CHAMA 450/750 V, PARA CIRCUITOS TERMINAIS - FORNECIMENTO E INSTALAÇÃO. AF_03/2023</t>
  </si>
  <si>
    <t xml:space="preserve"> 2.10.5 </t>
  </si>
  <si>
    <t>ILUMINAÇÃO E TOMADAS</t>
  </si>
  <si>
    <t xml:space="preserve"> 2.10.5.1 </t>
  </si>
  <si>
    <t xml:space="preserve"> 95814 </t>
  </si>
  <si>
    <t>CONDULETE DE PVC, TIPO TB, PARA ELETRODUTO DE PVC SOLDÁVEL DN 25 MM (3/4''), APARENTE - FORNECIMENTO E INSTALAÇÃO. AF_10/2022</t>
  </si>
  <si>
    <t xml:space="preserve"> 2.10.5.2 </t>
  </si>
  <si>
    <t xml:space="preserve"> 12808 </t>
  </si>
  <si>
    <t>Refletor Slim LED 200W de potência, branco Frio, 6500k, Autovolt, marca G-light ou similar</t>
  </si>
  <si>
    <t xml:space="preserve"> 2.11 </t>
  </si>
  <si>
    <t>SISTEMA DE PROTEÇÃO CONTRA DESCARGAS ATMOSFÉRICAS (SPDA)</t>
  </si>
  <si>
    <t xml:space="preserve"> 2.11.1 </t>
  </si>
  <si>
    <t xml:space="preserve"> C3483 </t>
  </si>
  <si>
    <t>TERMINAL OLHAL PARA CABO DE 4,00MM2 À 6,00MM2</t>
  </si>
  <si>
    <t xml:space="preserve"> 2.11.2 </t>
  </si>
  <si>
    <t xml:space="preserve"> 98463 </t>
  </si>
  <si>
    <t>SUPORTE ISOLADOR PARA FIXAÇÃO DA CORDOALHA DE COBRE EM ALVENARIA OU CONCRETO - FORNECIMENTO E INSTALAÇÃO. AF_08/2023</t>
  </si>
  <si>
    <t xml:space="preserve"> 2.11.3 </t>
  </si>
  <si>
    <t xml:space="preserve"> ED-48700 </t>
  </si>
  <si>
    <t>ATERRAMENTO COM HASTE DE COBRE, TIPO COPPERWELD, DIÂMETRO DE  5/8", COMPRIMENTO DE 240CM, EXCLUSIVE CABO E CAIXA PARA ATERRAMENTO, INCLUSIVE GRAMPO PARA HASTE E INSTALAÇÃO</t>
  </si>
  <si>
    <t xml:space="preserve"> 2.11.4 </t>
  </si>
  <si>
    <t xml:space="preserve"> ED-13935 </t>
  </si>
  <si>
    <t>CABO DE COBRE NU #50 MM2   7 FIOSX3,00MM, PARA ELEMENTOS DE CAPTAÇÃO/ANEL DE CINTAMENTO (SPDA), INCLUSIVE PRESILHA DE FIXAÇÃO</t>
  </si>
  <si>
    <t xml:space="preserve"> 2.11.5 </t>
  </si>
  <si>
    <t xml:space="preserve"> 98111 </t>
  </si>
  <si>
    <t>CAIXA DE INSPEÇÃO PARA ATERRAMENTO, CIRCULAR, EM POLIETILENO, DIÂMETRO INTERNO = 0,3 M. AF_12/2020</t>
  </si>
  <si>
    <t xml:space="preserve"> 2.11.6 </t>
  </si>
  <si>
    <t xml:space="preserve"> 2.12 </t>
  </si>
  <si>
    <t>EQUIPAMENTOS ESPORTIVOS</t>
  </si>
  <si>
    <t xml:space="preserve"> 2.12.1 </t>
  </si>
  <si>
    <t xml:space="preserve"> ED-49572 </t>
  </si>
  <si>
    <t>POSTE DE VÔLEI OU PETECA OFICIAL (PAR) COM REDE, EM TUBO DE AÇO, DIÂMETRO DE 3", TIPO TELESCÓPICO, INCLUSIVE TRATAMENTO ANTICORROSIVO E PINTURA</t>
  </si>
  <si>
    <t xml:space="preserve"> 2.12.2 </t>
  </si>
  <si>
    <t xml:space="preserve"> 10069 </t>
  </si>
  <si>
    <t>Traves oficial para futebol de salão 3x2m em aço galv.3", com requadro e redes de polietileno fio 4mm (conjunto p/futsal)</t>
  </si>
  <si>
    <t>par</t>
  </si>
  <si>
    <t xml:space="preserve"> 2.12.3 </t>
  </si>
  <si>
    <t xml:space="preserve"> 103769 </t>
  </si>
  <si>
    <t>PAR DE TABELAS DE BASQUETE DE COMPENSADO NAVAL, COM AROS E REDES - FORNECIMENTO E INSTALAÇÃO. AF_03/2022</t>
  </si>
  <si>
    <t xml:space="preserve"> 3 </t>
  </si>
  <si>
    <t>PALCO, VESTIÁRIOS E CANTINA</t>
  </si>
  <si>
    <t xml:space="preserve"> 3.1 </t>
  </si>
  <si>
    <t>DEMOLIÇÃO</t>
  </si>
  <si>
    <t xml:space="preserve"> 3.1.1 </t>
  </si>
  <si>
    <t xml:space="preserve"> ED-48452 </t>
  </si>
  <si>
    <t>DEMOLIÇÃO MANUAL DE ALVENARIA/DIVISÓRIA DE ELEMENTOS VAZADOS (COBOGÓ, ETC. ), INCLUSIVE AFASTAMENTO E EMPILHAMENTO, EXCLUSIVE TRANSPORTE E RETIRADA DO MATERIAL DEMOLIDO</t>
  </si>
  <si>
    <t xml:space="preserve"> 3.1.2 </t>
  </si>
  <si>
    <t xml:space="preserve"> 104790 </t>
  </si>
  <si>
    <t>DEMOLIÇÃO DE PISO DE CONCRETO SIMPLES, DE FORMA MECANIZADA COM MARTELETE, SEM REAPROVEITAMENTO. AF_09/2023</t>
  </si>
  <si>
    <t xml:space="preserve"> 3.1.3 </t>
  </si>
  <si>
    <t xml:space="preserve"> ED-28338 </t>
  </si>
  <si>
    <t>DEMOLIÇÃO MANUAL DE CONSTRUÇÃO EM ALVENARIAS DE VEDAÇÃO, COM ESPESSURA MÁXIMA DE 15CM, INCLUSIVE REMOÇÃO COM REAPROVEITAMENTO DE ESQUADRIAS, AFASTAMENTO E EMPILHAMENTO, EXCLUSIVE TRANSPORTE E RETIRADA DO MATERIAL DEMOLIDO/REMOVIDO NÃO REAPROVEITÁVEL</t>
  </si>
  <si>
    <t xml:space="preserve"> 3.1.4 </t>
  </si>
  <si>
    <t xml:space="preserve"> 02.01.07 </t>
  </si>
  <si>
    <t>SUDECAP</t>
  </si>
  <si>
    <t>REMOÇÃO DE TELHA CERÂMICA COLONIAL OU FRANCESA, INCLUSIVE EMPILHAMENTO</t>
  </si>
  <si>
    <t xml:space="preserve"> 3.1.5 </t>
  </si>
  <si>
    <t xml:space="preserve"> ED-48512 </t>
  </si>
  <si>
    <t>REMOÇÃO MANUAL DE TELHA  EM FIBROCIMENTO, TIPO ONDULADA, COM REAPROVEITAMENTO, INCLUSIVE AFASTAMENTO E EMPILHAMENTO, EXCLUSIVE TRANSPORTE E RETIRADA DO MATERIAL REMOVIDO NÃO REAPROVEITÁVEL</t>
  </si>
  <si>
    <t xml:space="preserve"> 3.1.6 </t>
  </si>
  <si>
    <t xml:space="preserve"> 104801 </t>
  </si>
  <si>
    <t>REMOÇÃO DE ALAMBRADOS PARA QUADRAS POLIESPORTIVAS, ESTRUTURADO POR TUBOS DE AÇO GALVANIZADO, COM TELA DE ARAME GALVANIZADO, DE FORMA MANUAL, SEM REAPROVEITAMENTO. AF_09/2023</t>
  </si>
  <si>
    <t xml:space="preserve"> 3.1.7 </t>
  </si>
  <si>
    <t xml:space="preserve"> 3.1.8 </t>
  </si>
  <si>
    <t xml:space="preserve"> 3.2 </t>
  </si>
  <si>
    <t>FUNDAÇÃO</t>
  </si>
  <si>
    <t xml:space="preserve"> 3.2.1 </t>
  </si>
  <si>
    <t xml:space="preserve"> 3.2.2 </t>
  </si>
  <si>
    <t xml:space="preserve"> ED-49812 </t>
  </si>
  <si>
    <t>LASTRO DE CONCRETO MAGRO, INCLUSIVE TRANSPORTE, LANÇAMENTO E ADENSAMENTO</t>
  </si>
  <si>
    <t xml:space="preserve"> 3.2.3 </t>
  </si>
  <si>
    <t xml:space="preserve"> 3.2.4 </t>
  </si>
  <si>
    <t xml:space="preserve"> 3.2.5 </t>
  </si>
  <si>
    <t xml:space="preserve"> 3.2.6 </t>
  </si>
  <si>
    <t xml:space="preserve"> 3.2.7 </t>
  </si>
  <si>
    <t xml:space="preserve"> 3.2.8 </t>
  </si>
  <si>
    <t xml:space="preserve"> 3.3 </t>
  </si>
  <si>
    <t>SUPERESTRUTURA DE CONCRETO</t>
  </si>
  <si>
    <t xml:space="preserve"> 3.3.1 </t>
  </si>
  <si>
    <t xml:space="preserve"> 3.3.2 </t>
  </si>
  <si>
    <t xml:space="preserve"> 3.3.3 </t>
  </si>
  <si>
    <t xml:space="preserve"> 3.3.4 </t>
  </si>
  <si>
    <t xml:space="preserve"> 3.3.5 </t>
  </si>
  <si>
    <t xml:space="preserve"> ED-50253 </t>
  </si>
  <si>
    <t>LAJE PRÉ MOLDADA UNIDIRECIONAL COM ENCHIMENTO EM POLIESTIRENO EXPANDIDO (EPS), CAPEAMENTO DE 4CM, SOBRECARGA DE 100KG/M2, ALTURA TOTAL DE 11CM E VÃO LIVRE MÁXIMO DE 4M, INCLUSIVE CONCRETO ESTRUTURAL, USINADO BOMBEADO COM FCK DE 20MPA, EXCLUSIVE TELA ARMADA E CIMBRAMENTO</t>
  </si>
  <si>
    <t xml:space="preserve"> 3.3.6 </t>
  </si>
  <si>
    <t xml:space="preserve"> ED-50259 </t>
  </si>
  <si>
    <t>LAJE PRÉ MOLDADA UNIDIRECIONAL COM ENCHIMENTO EM POLIESTIRENO EXPANDIDO (EPS), CAPEAMENTO DE 4CM, SOBRECARGA DE 300KG/M2, ALTURA TOTAL DE 11CM E VÃO LIVRE MÁXIMO DE 3M, INCLUSIVE CONCRETO ESTRUTURAL, USINADO BOMBEADO COM FCK DE 20MPA, EXCLUSIVE TELA ARMADA E CIMBRAMENTO</t>
  </si>
  <si>
    <t xml:space="preserve"> 3.3.7 </t>
  </si>
  <si>
    <t xml:space="preserve"> ED-19637 </t>
  </si>
  <si>
    <t>CIMBRAMENTO PARA LAJE PRÉ MOLDADA COM ESCORAMENTO METÁLICO, TIPO "A", ALTURA DE (200 ATÉ 310)CM, INCLUSIVE DESCARGA, MONTAGEM, DESMONTAGEM E CARGA</t>
  </si>
  <si>
    <t>m2xmês</t>
  </si>
  <si>
    <t xml:space="preserve"> 3.3.8 </t>
  </si>
  <si>
    <t xml:space="preserve"> 105025 </t>
  </si>
  <si>
    <t>VERGA MOLDADA IN LOCO COM UTILIZAÇÃO DE BLOCOS CANALETA, ESPESSURA DE *15* CM. AF_03/2024</t>
  </si>
  <si>
    <t xml:space="preserve"> 3.3.9 </t>
  </si>
  <si>
    <t xml:space="preserve"> 105031 </t>
  </si>
  <si>
    <t>CONTRAVERGA MOLDADA IN LOCO COM UTILIZAÇÃO DE BLOCOS CANALETA, ESPESSURA DE *15* CM. AF_03/2024</t>
  </si>
  <si>
    <t xml:space="preserve"> 3.3.10 </t>
  </si>
  <si>
    <t xml:space="preserve"> ED-50842 </t>
  </si>
  <si>
    <t>PILAR EM CONCRETO APARENTE 20 MPa, INCLUSIVE ARMAÇÃO, FÔRMA PLASTIFICADA E DESFORMA</t>
  </si>
  <si>
    <t xml:space="preserve"> 3.4 </t>
  </si>
  <si>
    <t>ALVENARIA</t>
  </si>
  <si>
    <t xml:space="preserve"> 3.4.1 </t>
  </si>
  <si>
    <t xml:space="preserve"> ED-48232 </t>
  </si>
  <si>
    <t>ALVENARIA DE VEDAÇÃO COM TIJOLO CERÂMICO FURADO, ESP. 14CM, PARA REVESTIMENTO, INCLUSIVE ARGAMASSA PARA ASSENTAMENTO</t>
  </si>
  <si>
    <t xml:space="preserve"> 3.4.2 </t>
  </si>
  <si>
    <t xml:space="preserve"> ED-48219 </t>
  </si>
  <si>
    <t>ALVENARIA DE BLOCO DE CONCRETO CHEIO SEM ARMAÇÃO, EM CONCRETO COM FCK DE 20MPA , ESP. 14CM, PARA REVESTIMENTO, INCLUSIVE ARGAMASSA PARA ASSENTAMENTO (DETALHE D   CADERNO SEDS)</t>
  </si>
  <si>
    <t xml:space="preserve"> 3.5 </t>
  </si>
  <si>
    <t>COBERTURA</t>
  </si>
  <si>
    <t xml:space="preserve"> 3.5.1 </t>
  </si>
  <si>
    <t xml:space="preserve"> 3.5.2 </t>
  </si>
  <si>
    <t xml:space="preserve"> 92580 </t>
  </si>
  <si>
    <t>TRAMA DE AÇO COMPOSTA POR TERÇAS PARA TELHADOS DE ATÉ 2 ÁGUAS PARA TELHA ONDULADA DE FIBROCIMENTO, METÁLICA, PLÁSTICA OU TERMOACÚSTICA, INCLUSO TRANSPORTE VERTICAL. AF_07/2019</t>
  </si>
  <si>
    <t xml:space="preserve"> 3.6 </t>
  </si>
  <si>
    <t>INSTALAÇÕES HIDRÁULICAS</t>
  </si>
  <si>
    <t xml:space="preserve"> 3.6.1 </t>
  </si>
  <si>
    <t xml:space="preserve"> 3.6.1.1 </t>
  </si>
  <si>
    <t xml:space="preserve"> 3.6.1.2 </t>
  </si>
  <si>
    <t xml:space="preserve"> ED-50707 </t>
  </si>
  <si>
    <t>RASGO EM ALVENARIA PARA PASSAGEM DE ELETRODUTO/TUBULAÇÃO, DIÂMETROS DE 15MM A 25MM (1/2" A 1"), EXCLUSIVE ENCHIMENTO</t>
  </si>
  <si>
    <t xml:space="preserve"> 3.6.1.3 </t>
  </si>
  <si>
    <t xml:space="preserve"> ED-50708 </t>
  </si>
  <si>
    <t>RASGO EM ALVENARIA PARA PASSAGEM DE ELETRODUTO/TUBULAÇÃO, DIÂMETROS DE 32MM A 50MM (1.1/4" A 2"), EXCLUSIVE ENCHIMENTO</t>
  </si>
  <si>
    <t xml:space="preserve"> 3.6.2 </t>
  </si>
  <si>
    <t>INSTALAÇÃO DE REDE DE ÁGUA</t>
  </si>
  <si>
    <t xml:space="preserve"> 3.6.2.1 </t>
  </si>
  <si>
    <t xml:space="preserve"> ED-50018 </t>
  </si>
  <si>
    <t>FORNECIMENTO E ASSENTAMENTO DE TUBO PVC RÍGIDO SOLDÁVEL, ÁGUA FRIA, DN 20 MM (1/2"), INCLUSIVE CONEXÕES</t>
  </si>
  <si>
    <t xml:space="preserve"> 3.6.2.2 </t>
  </si>
  <si>
    <t xml:space="preserve"> ED-50019 </t>
  </si>
  <si>
    <t>FORNECIMENTO E ASSENTAMENTO DE TUBO PVC RÍGIDO SOLDÁVEL, ÁGUA FRIA, DN 25 MM (3/4") , INCLUSIVE CONEXÕES</t>
  </si>
  <si>
    <t xml:space="preserve"> 3.6.2.3 </t>
  </si>
  <si>
    <t xml:space="preserve"> ED-50020 </t>
  </si>
  <si>
    <t>FORNECIMENTO E ASSENTAMENTO DE TUBO PVC RÍGIDO SOLDÁVEL, ÁGUA FRIA, DN 32 MM (1") , INCLUSIVE CONEXÕES</t>
  </si>
  <si>
    <t xml:space="preserve"> 3.6.2.4 </t>
  </si>
  <si>
    <t xml:space="preserve"> ED-50022 </t>
  </si>
  <si>
    <t>FORNECIMENTO E ASSENTAMENTO DE TUBO PVC RÍGIDO SOLDÁVEL, ÁGUA FRIA, DN 50 MM (1.1/2"), INCLUSIVE CONEXÕES</t>
  </si>
  <si>
    <t xml:space="preserve"> 3.6.2.5 </t>
  </si>
  <si>
    <t xml:space="preserve"> ED-49989 </t>
  </si>
  <si>
    <t>REGISTRO DE GAVETA, TIPO BASE, ROSCÁVEL 3/4" (PARA TUBO SOLDÁVEL OU PPR DN 25MM/CPVC DN 22MM), INCLUSIVE ACABAMENTO (PADRÃO MÉDIO) E CANOPLA CROMADO</t>
  </si>
  <si>
    <t xml:space="preserve"> 3.6.2.6 </t>
  </si>
  <si>
    <t xml:space="preserve"> 97895 </t>
  </si>
  <si>
    <t>CAIXA ENTERRADA HIDRÁULICA RETANGULAR, EM CONCRETO PRÉ-MOLDADO, DIMENSÕES INTERNAS: 0,3X0,3X0,3 M. AF_12/2020</t>
  </si>
  <si>
    <t xml:space="preserve"> 3.6.2.7 </t>
  </si>
  <si>
    <t xml:space="preserve"> ED-50323 </t>
  </si>
  <si>
    <t>TORNEIRA METÁLICA PARA IRRIGAÇÃO/JARDIM, ACABAMENTO CROMADO, APLICAÇÃO DE PAREDE</t>
  </si>
  <si>
    <t xml:space="preserve"> 3.6.2.8 </t>
  </si>
  <si>
    <t xml:space="preserve"> ED-49987 </t>
  </si>
  <si>
    <t>REGISTRO DE GAVETA, TIPO BASE, ROSCÁVEL 1/2" (PARA TUBO SOLDÁVEL OU PPR DN 20MM/CPVC DN 15MM), INCLUSIVE ACABAMENTO (PADRÃO MÉDIO) E CANOPLA CROMADOS</t>
  </si>
  <si>
    <t xml:space="preserve"> 3.6.2.9 </t>
  </si>
  <si>
    <t xml:space="preserve"> 3.6.2.10 </t>
  </si>
  <si>
    <t xml:space="preserve"> ED-49995 </t>
  </si>
  <si>
    <t>REGISTRO DE GAVETA, TIPO BASE, ROSCÁVEL 1.1/2" (PARA TUBO SOLDÁVEL OU PPR DN 50MM/CPVC DN 42MM), INCLUSIVE ACABAMENTO (PADRÃO MÉDIO) E CANOPLA CROMADOS</t>
  </si>
  <si>
    <t xml:space="preserve"> 3.6.2.11 </t>
  </si>
  <si>
    <t xml:space="preserve"> ED-50337 </t>
  </si>
  <si>
    <t>VÁLVULA DE DESCARGA COM REGISTRO INTERNO, ACIONAMENTO SIMPLES, DIÂMETRO DE 1.1/2" (50MM), INCLUSIVE ACABAMENTO DA VÁLVULA</t>
  </si>
  <si>
    <t xml:space="preserve"> 3.6.2.12 </t>
  </si>
  <si>
    <t xml:space="preserve"> ED-49936 </t>
  </si>
  <si>
    <t>CAIXA D'ÁGUA DE POLIETILENO, CAPACIDADE DE 1.000L, INCLUSIVE TAMPA, TORNEIRA DE BOIA, EXTRAVASOR, TUBO DE LIMPEZA E ACESSÓRIOS, EXCLUSIVE TUBULAÇÃO DE ENTRADA/SAÍDA DE ÁGUA</t>
  </si>
  <si>
    <t xml:space="preserve"> 3.6.2.13 </t>
  </si>
  <si>
    <t xml:space="preserve"> ED-49935 </t>
  </si>
  <si>
    <t>CAIXA D'ÁGUA DE POLIETILENO, CAPACIDADE DE 500L, INCLUSIVE TAMPA, TORNEIRA DE BOIA, EXTRAVASOR, TUBO DE LIMPEZA E ACESSÓRIOS, EXCLUSIVE TUBULAÇÃO DE ENTRADA/SAÍDA DE ÁGUA</t>
  </si>
  <si>
    <t xml:space="preserve"> 3.6.2.14 </t>
  </si>
  <si>
    <t xml:space="preserve"> ED-51120 </t>
  </si>
  <si>
    <t>REATERRO MANUAL DE VALA, INCLUSIVE ESPALHAMENTO E COMPACTAÇÃO MANUAL COM SOQUETE</t>
  </si>
  <si>
    <t xml:space="preserve"> 3.6.2.15 </t>
  </si>
  <si>
    <t xml:space="preserve"> ED-50704 </t>
  </si>
  <si>
    <t>ENCHIMENTO DE RASGO EM ALVENARIA/CONCRETO COM ARGAMASSA, DIÂMETRO DE 15MM A 25MM (1/2" A 1"), INCLUSIVE ARGAMASSA, TRAÇO 1:2:8 (CIMENTO, CAL E AREIA), COM PREPARO MECANIZADO</t>
  </si>
  <si>
    <t xml:space="preserve"> 3.6.2.16 </t>
  </si>
  <si>
    <t xml:space="preserve"> ED-50705 </t>
  </si>
  <si>
    <t>ENCHIMENTO DE RASGO EM ALVENARIA/CONCRETO COM ARGAMASSA, DIÂMETRO DE 32MM A 50MM (1.1/4" A 2"), INCLUSIVE ARGAMASSA, TRAÇO 1:2:8 (CIMENTO, CAL E AREIA), COM PREPARO MECANIZADO</t>
  </si>
  <si>
    <t xml:space="preserve"> 3.6.2.17 </t>
  </si>
  <si>
    <t xml:space="preserve"> ED-49970 </t>
  </si>
  <si>
    <t>REGISTRO DE GAVETA, TIPO BRUTO, ROSCÁVEL 1/2" (PARA TUBO SOLDÁVEL OU PPR DN 20MM/CPVC DN 15MM), INCLUSIVE VOLANTE PARA ACIONAMENTO</t>
  </si>
  <si>
    <t xml:space="preserve"> 3.6.2.18 </t>
  </si>
  <si>
    <t xml:space="preserve"> ED-49972 </t>
  </si>
  <si>
    <t>REGISTRO DE GAVETA, TIPO BRUTO, ROSCÁVEL 3/4" (PARA TUBO SOLDÁVEL OU PPR DN 25MM/CPVC DN 22MM), INCLUSIVE VOLANTE PARA ACIONAMENTO</t>
  </si>
  <si>
    <t xml:space="preserve"> 3.6.2.19 </t>
  </si>
  <si>
    <t xml:space="preserve"> ED-49974 </t>
  </si>
  <si>
    <t>REGISTRO DE GAVETA, TIPO BRUTO, ROSCÁVEL 1" (PARA TUBO SOLDÁVEL OU PPR DN 32MM/CPVC DN 28MM), INCLUSIVE VOLANTE PARA ACIONAMENTO</t>
  </si>
  <si>
    <t xml:space="preserve"> 3.6.2.20 </t>
  </si>
  <si>
    <t xml:space="preserve"> ED-49978 </t>
  </si>
  <si>
    <t>REGISTRO DE GAVETA, TIPO BRUTO, ROSCÁVEL 1.1/2" (PARA TUBO SOLDÁVEL OU PPR DN 50MM/CPVC DN 42MM), INCLUSIVE VOLANTE PARA ACIONAMENTO</t>
  </si>
  <si>
    <t xml:space="preserve"> 3.7 </t>
  </si>
  <si>
    <t>INSTALAÇÕES SANITÁRIAS</t>
  </si>
  <si>
    <t xml:space="preserve"> 3.7.1 </t>
  </si>
  <si>
    <t xml:space="preserve"> 3.7.1.1 </t>
  </si>
  <si>
    <t xml:space="preserve"> 3.7.1.2 </t>
  </si>
  <si>
    <t xml:space="preserve"> 3.7.2 </t>
  </si>
  <si>
    <t>INSTALAÇÃO DE REDES</t>
  </si>
  <si>
    <t xml:space="preserve"> 3.7.2.1 </t>
  </si>
  <si>
    <t xml:space="preserve"> ED-50034 </t>
  </si>
  <si>
    <t>FORNECIMENTO E ASSENTAMENTO DE TUBO PVC RÍGIDO, ESGOTO, PB   SÉRIE NORMAL, DN 40MM (1.1/2"), INCLUSIVE CONEXÕES</t>
  </si>
  <si>
    <t xml:space="preserve"> 3.7.2.2 </t>
  </si>
  <si>
    <t xml:space="preserve"> ED-50027 </t>
  </si>
  <si>
    <t>FORNECIMENTO E ASSENTAMENTO DE TUBO PVC RÍGIDO, ESGOTO, PBV   SÉRIE NORMAL, DN 50 MM (2"), INCLUSIVE CONEXÕES</t>
  </si>
  <si>
    <t xml:space="preserve"> 3.7.2.3 </t>
  </si>
  <si>
    <t xml:space="preserve"> ED-50029 </t>
  </si>
  <si>
    <t>FORNECIMENTO E ASSENTAMENTO DE TUBO PVC RÍGIDO, ESGOTO, PBV   SÉRIE NORMAL, DN 100 MM (4"), INCLUSIVE CONEXÕES</t>
  </si>
  <si>
    <t xml:space="preserve"> 3.7.2.4 </t>
  </si>
  <si>
    <t xml:space="preserve"> 98110 </t>
  </si>
  <si>
    <t>CAIXA DE GORDURA PEQUENA (CAPACIDADE: 19 L), CIRCULAR, EM PVC, DIÂMETRO INTERNO= 0,3 M. AF_12/2020</t>
  </si>
  <si>
    <t xml:space="preserve"> 3.7.2.5 </t>
  </si>
  <si>
    <t xml:space="preserve"> ED-50007 </t>
  </si>
  <si>
    <t>CAIXA SIFONADA EM PVC COM GRELHA QUADRADA150 X 150 X 50 MM</t>
  </si>
  <si>
    <t xml:space="preserve"> 3.7.2.6 </t>
  </si>
  <si>
    <t xml:space="preserve"> 13713 </t>
  </si>
  <si>
    <t>Grelha pluvial em aço inox 15 x 40cm com tela protetora, inclusive porta grelha em inox</t>
  </si>
  <si>
    <t xml:space="preserve"> 3.7.2.7 </t>
  </si>
  <si>
    <t xml:space="preserve"> ED-49889 </t>
  </si>
  <si>
    <t>CAIXA DE ESGOTO DE INSPEÇÃO/PASSAGEM EM ALVENARIA (60X60X100CM), REVESTIMENTO EM ARGAMASSA COM ADITIVO IMPERMEABILIZANTE, COM TAMPA DE CONCRETO, INCLUSIVE ESCAVAÇÃO, REATERRO E TRANSPORTE COM RETIRADA DO MATERIAL ESCAVADO (EM CAÇAMBA)</t>
  </si>
  <si>
    <t xml:space="preserve"> 3.7.2.8 </t>
  </si>
  <si>
    <t xml:space="preserve"> 10.26.12 </t>
  </si>
  <si>
    <t>GRELHA/PORTA GRELHA AÇO INOX FECHO GIRATÓRIO 150X150MM</t>
  </si>
  <si>
    <t xml:space="preserve"> 3.7.2.9 </t>
  </si>
  <si>
    <t xml:space="preserve"> 3.7.2.10 </t>
  </si>
  <si>
    <t xml:space="preserve"> 3.7.2.11 </t>
  </si>
  <si>
    <t xml:space="preserve"> ED-8486 </t>
  </si>
  <si>
    <t>CONCRETO ESTRUTURAL, PREPARADO EM OBRA COM BETONEIRA, CONTROLE "A", COM FCK 20MPA, BRITA Nº (1 E 2), CONSISTÊNCIA PARA VIBRAÇÃO (FABRICAÇÃO)</t>
  </si>
  <si>
    <t xml:space="preserve"> 3.7.2.12 </t>
  </si>
  <si>
    <t xml:space="preserve"> ED-49643 </t>
  </si>
  <si>
    <t>FÔRMA E DESFORMA DE TÁBUA E SARRAFO, REAPROVEITAMENTO (3X), EXCLUSIVE ESCORAMENTO</t>
  </si>
  <si>
    <t xml:space="preserve"> 3.8 </t>
  </si>
  <si>
    <t>INSTALAÇÕES PLUVIAIS</t>
  </si>
  <si>
    <t xml:space="preserve"> 3.8.1 </t>
  </si>
  <si>
    <t>SERVIÇOS PRELIMINARES REDE AGUA PLUVIAL</t>
  </si>
  <si>
    <t xml:space="preserve"> 3.8.1.1 </t>
  </si>
  <si>
    <t xml:space="preserve"> 3.8.1.2 </t>
  </si>
  <si>
    <t xml:space="preserve"> ED-48442 </t>
  </si>
  <si>
    <t>DEMOLIÇÃO MECANIZADA DE CONCRETO, SEM ARMAÇÃO, COM EQUIPAMENTO ELÉTRICO, INCLUSIVE AFASTAMENTO E EMPILHAMENTO, EXCLUSIVE TRANSPORTE E RETIRADA DO MATERIAL DEMOLIDO</t>
  </si>
  <si>
    <t xml:space="preserve"> 3.8.2 </t>
  </si>
  <si>
    <t>INSTALAÇÃO DE REDE</t>
  </si>
  <si>
    <t xml:space="preserve"> 3.8.2.1 </t>
  </si>
  <si>
    <t xml:space="preserve"> 3.8.2.2 </t>
  </si>
  <si>
    <t xml:space="preserve"> RO-00961 </t>
  </si>
  <si>
    <t>Concreto confeccionado em betoneira e lançamento manual com fck = 20 MPa   areia e brita comerciais (Execução, incluindo fornecimento, carga e transporte de todos os materiais)</t>
  </si>
  <si>
    <t xml:space="preserve"> 3.8.2.3 </t>
  </si>
  <si>
    <t xml:space="preserve"> 3.8.2.4 </t>
  </si>
  <si>
    <t xml:space="preserve"> ED-14570 </t>
  </si>
  <si>
    <t>GRELHA COM 15CM DE LARGURA PARA CANALETA EM BARRA REDONDA DN 12,5MM (1/2") COM REQUADRO EM BARRA REDONDA DN 20MM (3/4"), INCLUSIVE UMA (1) DEMÃO DE FUNDO ANTICORROSIVO E DUAS (2) DEMÃOS DE PINTURA ESMALTE (FORNECIMENTO/FABRICAÇÃO)</t>
  </si>
  <si>
    <t xml:space="preserve"> 3.8.2.5 </t>
  </si>
  <si>
    <t xml:space="preserve"> ED-48669 </t>
  </si>
  <si>
    <t>FORNECIMENTO E ASSENTAMENTO DE TUBO PVC RÍGIDO, DRENAGEM/PLUVIAL, PBV   SÉRIE NORMAL, DN 100 MM (4"), INCLUSIVE CONEXÕES</t>
  </si>
  <si>
    <t xml:space="preserve"> 3.8.2.6 </t>
  </si>
  <si>
    <t xml:space="preserve"> ED-48670 </t>
  </si>
  <si>
    <t>FORNECIMENTO E ASSENTAMENTO DE TUBO PVC RÍGIDO, DRENAGEM/PLUVIAL, PBV   SÉRIE NORMAL, DN 150 MM (6"), INCLUSIVE CONEXÕES</t>
  </si>
  <si>
    <t xml:space="preserve"> 3.8.2.7 </t>
  </si>
  <si>
    <t xml:space="preserve"> ED-48671 </t>
  </si>
  <si>
    <t>FORNECIMENTO E ASSENTAMENTO DE TUBO PVC RÍGIDO, DRENAGEM/PLUVIAL, PBV   SÉRIE NORMAL, DN 200 MM (8"), INCLUSIVE CONEXÕES</t>
  </si>
  <si>
    <t xml:space="preserve"> 3.8.2.8 </t>
  </si>
  <si>
    <t xml:space="preserve"> 97907 </t>
  </si>
  <si>
    <t>CAIXA ENTERRADA HIDRÁULICA RETANGULAR, EM ALVENARIA COM BLOCOS DE CONCRETO, DIMENSÕES INTERNAS: 0,8X0,8X0,6 M PARA REDE DE ESGOTO. AF_12/2020</t>
  </si>
  <si>
    <t xml:space="preserve"> 3.8.2.9 </t>
  </si>
  <si>
    <t xml:space="preserve"> 97906 </t>
  </si>
  <si>
    <t>CAIXA ENTERRADA HIDRÁULICA RETANGULAR, EM ALVENARIA COM BLOCOS DE CONCRETO, DIMENSÕES INTERNAS: 0,6X0,6X0,6 M PARA REDE DE ESGOTO. AF_12/2020</t>
  </si>
  <si>
    <t xml:space="preserve"> 3.8.2.10 </t>
  </si>
  <si>
    <t xml:space="preserve"> 89578 </t>
  </si>
  <si>
    <t>TUBO PVC, SÉRIE R, ÁGUA PLUVIAL, DN 100 MM, FORNECIDO E INSTALADO EM CONDUTORES VERTICAIS DE ÁGUAS PLUVIAIS. AF_06/2022</t>
  </si>
  <si>
    <t xml:space="preserve"> 3.8.2.11 </t>
  </si>
  <si>
    <t xml:space="preserve"> ED-14574 </t>
  </si>
  <si>
    <t>GRELHA COM 30CM DE LARGURA PARA CANALETA EM BARRA REDONDA DN 12,5MM (1/2") COM REQUADRO EM BARRA REDONDA DN 20MM (3/4"), INCLUSIVE UMA (1) DEMÃO DE FUNDO ANTICORROSIVO E DUAS (2) DEMÃOS DE PINTURA ESMALTE (FORNECIMENTO/FABRICAÇÃO)</t>
  </si>
  <si>
    <t xml:space="preserve"> 3.8.2.12 </t>
  </si>
  <si>
    <t xml:space="preserve"> ED-48214 </t>
  </si>
  <si>
    <t>ALVENARIA DE BLOCO DE CONCRETO CHEIO COM ARMAÇÃO, EM CONCRETO COM FCK 15MPA , ESP. 19CM, PARA REVESTIMENTO, INCLUSIVE ARGAMASSA PARA ASSENTAMENTO (DETALHE D   CADERNO SEDS)</t>
  </si>
  <si>
    <t xml:space="preserve"> 3.8.2.13 </t>
  </si>
  <si>
    <t xml:space="preserve"> ED-50663 </t>
  </si>
  <si>
    <t>CALHA EM CHAPA GALVANIZADA, ESP. 0,5MM (GSG 26), COM DESENVOLVIMENTO DE 50CM, INCLUSIVE IÇAMENTO MANUAL VERTICAL</t>
  </si>
  <si>
    <t xml:space="preserve"> 3.8.2.14 </t>
  </si>
  <si>
    <t xml:space="preserve"> ED-50661 </t>
  </si>
  <si>
    <t>CALHA EM CHAPA GALVANIZADA, ESP. 0,5MM (GSG 26), COM DESENVOLVIMENTO DE 33CM, INCLUSIVE IÇAMENTO MANUAL VERTICAL</t>
  </si>
  <si>
    <t xml:space="preserve"> 3.8.2.15 </t>
  </si>
  <si>
    <t xml:space="preserve"> ED-50667 </t>
  </si>
  <si>
    <t>CHAPIM EM CHAPA GALVANIZADA, COM PINGADEIRA, ESP. 0,65MM (GSG 24), COM DESENVOLVIMENTO DE 35CM, INCLUSIVE IÇAMENTO MANUAL VERTICAL</t>
  </si>
  <si>
    <t xml:space="preserve"> 3.9 </t>
  </si>
  <si>
    <t>INSTALAÇÕES ELÉTRICAS</t>
  </si>
  <si>
    <t xml:space="preserve"> 3.9.1 </t>
  </si>
  <si>
    <t>ENTRADA DE ENERGIA</t>
  </si>
  <si>
    <t xml:space="preserve"> 3.9.1.1 </t>
  </si>
  <si>
    <t xml:space="preserve"> ED-20585 </t>
  </si>
  <si>
    <t>ENTRADA DE ENERGIA AÉREA, TIPO C5, PADRÃO CEMIG, CARGA INSTALADA DE 38,1KVA ATÉ 47KVA, TRIFÁSICO, COM SAÍDA SUBTERRÂNEA, INCLUSIVE POSTE, CAIXA PARA MEDIDOR, DISJUNTOR, BARRAMENTO, ATERRAMENTO E ACESSÓRIOS</t>
  </si>
  <si>
    <t xml:space="preserve"> 3.9.2 </t>
  </si>
  <si>
    <t>CABEAMENTOS</t>
  </si>
  <si>
    <t xml:space="preserve"> 3.9.2.1 </t>
  </si>
  <si>
    <t xml:space="preserve"> ED-48946 </t>
  </si>
  <si>
    <t>CABO DE COBRE FLEXÍVEL, CLASSE 5, ISOLAMENTO TIPO LSHF/ATOX, NÃO HALOGENADO, ANTICHAMA, TERMOPLÁSTICO, UNIPOLAR, SEÇÃO 1,5 MM2, 70°C, 450/750V</t>
  </si>
  <si>
    <t xml:space="preserve"> 3.9.2.2 </t>
  </si>
  <si>
    <t xml:space="preserve"> ED-48951 </t>
  </si>
  <si>
    <t>CABO DE COBRE FLEXÍVEL, CLASSE 5, ISOLAMENTO TIPO LSHF/ATOX, NÃO HALOGENADO, ANTICHAMA, TERMOPLÁSTICO, UNIPOLAR, SEÇÃO 2,5 MM2, 70°C, 450/750V</t>
  </si>
  <si>
    <t xml:space="preserve"> 3.9.2.3 </t>
  </si>
  <si>
    <t xml:space="preserve"> ED-48961 </t>
  </si>
  <si>
    <t>CABO DE COBRE FLEXÍVEL, CLASSE 5, ISOLAMENTO TIPO LSHF/ATOX, NÃO HALOGENADO, ANTICHAMA, TERMOPLÁSTICO, UNIPOLAR, SEÇÃO 6 MM2, 70°C, 450/750V</t>
  </si>
  <si>
    <t xml:space="preserve"> 3.9.2.4 </t>
  </si>
  <si>
    <t xml:space="preserve"> ED-48998 </t>
  </si>
  <si>
    <t>CABO DE COBRE FLEXÍVEL, CLASSE 5, ISOLAMENTO TIPO EPR/HEPR, NÃO HALOGENADO, ANTICHAMA, TERMOFIXO, UNIPOLAR, SEÇÃO 10 MM2, 90°C, 0,6/1KV</t>
  </si>
  <si>
    <t xml:space="preserve"> 3.9.2.5 </t>
  </si>
  <si>
    <t xml:space="preserve"> 101561 </t>
  </si>
  <si>
    <t>CABO DE COBRE FLEXÍVEL ISOLADO, 16 MM², 0,6/1,0 KV, PARA REDE AÉREA DE DISTRIBUIÇÃO DE ENERGIA ELÉTRICA DE BAIXA TENSÃO - FORNECIMENTO E INSTALAÇÃO. AF_07/2020</t>
  </si>
  <si>
    <t xml:space="preserve"> 3.9.2.6 </t>
  </si>
  <si>
    <t xml:space="preserve"> 92984 </t>
  </si>
  <si>
    <t>CABO DE COBRE FLEXÍVEL ISOLADO, 25 MM², ANTI-CHAMA 0,6/1,0 KV, PARA REDE ENTERRADA DE DISTRIBUIÇÃO DE ENERGIA ELÉTRICA - FORNECIMENTO E INSTALAÇÃO. AF_12/2021</t>
  </si>
  <si>
    <t xml:space="preserve"> 3.9.2.7 </t>
  </si>
  <si>
    <t xml:space="preserve"> ED-49010 </t>
  </si>
  <si>
    <t>CABO DE COBRE FLEXÍVEL, CLASSE 5, ISOLAMENTO TIPO EPR/HEPR, NÃO HALOGENADO, ANTICHAMA, TERMOFIXO, UNIPOLAR, SEÇÃO 50 MM2, 90°C, 0,6/1KV</t>
  </si>
  <si>
    <t xml:space="preserve"> 3.9.2.8 </t>
  </si>
  <si>
    <t xml:space="preserve"> 8466 </t>
  </si>
  <si>
    <t>Cabo de cobre PP Cordplast 2 x 1,5 mm2, 450/750v</t>
  </si>
  <si>
    <t xml:space="preserve"> 3.9.2.9 </t>
  </si>
  <si>
    <t xml:space="preserve"> 11679 </t>
  </si>
  <si>
    <t>Cabo de cobre PP Cordplast 4 x 1,5 mm2, 450/750v - fornecimento e instalação</t>
  </si>
  <si>
    <t xml:space="preserve"> 3.9.3 </t>
  </si>
  <si>
    <t>ELETRODUTOS E PERFILADO</t>
  </si>
  <si>
    <t xml:space="preserve"> 3.9.3.1 </t>
  </si>
  <si>
    <t xml:space="preserve"> 3.9.3.2 </t>
  </si>
  <si>
    <t xml:space="preserve"> 3.9.3.3 </t>
  </si>
  <si>
    <t xml:space="preserve"> ED-49296 </t>
  </si>
  <si>
    <t>DUTO CORRUGADO EM PEAD (POLIETILENO DE ALTA DENSIDADE), PARA PROTEÇÃO DE CABOS SUBTERRÂNEOS DN 50 MM (2")</t>
  </si>
  <si>
    <t xml:space="preserve"> 3.9.3.4 </t>
  </si>
  <si>
    <t xml:space="preserve"> ED-4155 </t>
  </si>
  <si>
    <t>DUTO CORRUGADO EM PEAD (POLIETILENO DE ALTA DENSIDADE), PARA PROTEÇÃO DE CABOS SUBTERRÂNEOS DN 30 MM (1.1/4")</t>
  </si>
  <si>
    <t xml:space="preserve"> 3.9.3.5 </t>
  </si>
  <si>
    <t xml:space="preserve"> ED-17952 </t>
  </si>
  <si>
    <t>ELETRODUTO FLEXÍVEL CORRUGADO, PVC, ANTI CHAMA, DN 25MM (3/4"), APLICADO EM ALVENARIA, EXCLUSIVE RASGO</t>
  </si>
  <si>
    <t xml:space="preserve"> 3.9.3.6 </t>
  </si>
  <si>
    <t xml:space="preserve"> 3.9.3.7 </t>
  </si>
  <si>
    <t xml:space="preserve"> 3.9.3.8 </t>
  </si>
  <si>
    <t xml:space="preserve"> 97891 </t>
  </si>
  <si>
    <t>CAIXA ENTERRADA ELÉTRICA RETANGULAR, EM ALVENARIA COM BLOCOS DE CONCRETO, FUNDO COM BRITA, DIMENSÕES INTERNAS: 0,4X0,4X0,4 M. AF_12/2020</t>
  </si>
  <si>
    <t xml:space="preserve"> 3.9.3.9 </t>
  </si>
  <si>
    <t xml:space="preserve"> ED-49447 </t>
  </si>
  <si>
    <t>PERFILADO LISO (38X38)MM EM CHAPA DE AÇO GALVANIZADO #18, COM TRATAMENTO PRÉ ZINCADO, INCLUSIVE FIXAÇÃO SUPERIOR, CONEXÕES E ACESSÓRIOS, EXCLUSIVE TAMPA DE ENCAIXE</t>
  </si>
  <si>
    <t xml:space="preserve"> 3.9.4 </t>
  </si>
  <si>
    <t>TOMADAS E ILUMINAÇÃO</t>
  </si>
  <si>
    <t xml:space="preserve"> 3.9.4.1 </t>
  </si>
  <si>
    <t xml:space="preserve"> ED-15733 </t>
  </si>
  <si>
    <t>CONJUNTO DE UM (1) INTERRUPTOR SIMPLES, CORRENTE 10A, TENSÃO 250V, (10A 250V), COM PLACA 4"X2" DE UM (1) POSTO, INCLUSIVE FORNECIMENTO, INSTALAÇÃO, SUPORTE, MÓDULO E PLACA</t>
  </si>
  <si>
    <t xml:space="preserve"> 3.9.4.2 </t>
  </si>
  <si>
    <t xml:space="preserve"> ED-15739 </t>
  </si>
  <si>
    <t>CONJUNTO DE DOIS (2) INTERRUPTORES SIMPLES, CORRENTE 10A, TENSÃO 250V, (10A 250V), COM PLACA 4"X2" DE DOIS (2) POSTOS, INCLUSIVE FORNECIMENTO, INSTALAÇÃO, SUPORTE, MÓDULO E PLACA</t>
  </si>
  <si>
    <t xml:space="preserve"> 3.9.4.3 </t>
  </si>
  <si>
    <t xml:space="preserve"> ED-15736 </t>
  </si>
  <si>
    <t>CONJUNTO DE UM (1) INTERRUPTOR PARALELO, CORRENTE 10A, TENSÃO 250V, (10A 250V), COM PLACA 4"X2" DE UM (1) POSTO, INCLUSIVE FORNECIMENTO, INSTALAÇÃO, SUPORTE, MÓDULO E PLACA</t>
  </si>
  <si>
    <t xml:space="preserve"> 3.9.4.4 </t>
  </si>
  <si>
    <t xml:space="preserve"> ED-15768 </t>
  </si>
  <si>
    <t>CONJUNTO DE UM (1) INTERRUPTOR SIMPLES, CORRENTE 10A, TENSÃO 250V, (10A 250V) E UMA (1) TOMADA PADRÃO, TRÊS (3) POLOS, CORRENTE 20A, TENSÃO 250V, (2P+T/20A 250V), COM PLACA 4"X2" DE DOIS (2) POSTOS, INCLUSIVE FORNECIMENTO, INSTALAÇÃO, SUPORTE, MÓDULO E PLACA</t>
  </si>
  <si>
    <t xml:space="preserve"> 3.9.4.5 </t>
  </si>
  <si>
    <t xml:space="preserve"> ED-15749 </t>
  </si>
  <si>
    <t>CONJUNTO DE UMA (1) TOMADA PADRÃO, TRÊS (3) POLOS, CORRENTE 20A, TENSÃO 250V, (2P+T/20A 250V), COM PLACA 4"X2" DE UM (1) POSTO, INCLUSIVE FORNECIMENTO, INSTALAÇÃO, SUPORTE, MÓDULO E PLACA</t>
  </si>
  <si>
    <t xml:space="preserve"> 3.9.4.6 </t>
  </si>
  <si>
    <t xml:space="preserve"> ED-15756 </t>
  </si>
  <si>
    <t>CONJUNTO DE DUAS (2) TOMADAS PADRÃO, TRÊS (3) POLOS, CORRENTE 20A, TENSÃO 250V, (2P+T/20A 250V), COM PLACA 4"X2" DE DOIS (2) POSTOS, INCLUSIVE FORNECIMENTO, INSTALAÇÃO, SUPORTE, MÓDULO E PLACA</t>
  </si>
  <si>
    <t xml:space="preserve"> 3.9.4.7 </t>
  </si>
  <si>
    <t xml:space="preserve"> ED-49187 </t>
  </si>
  <si>
    <t>CAIXA DE LIGAÇÃO/PASSAGEM EM PVC RÍGIDO PARA ELETRODUTO, DIMENSÕES 4"X2", EMBUTIDA EM ALVENARIA   FORNECIMENTO E INSTALAÇÃO</t>
  </si>
  <si>
    <t xml:space="preserve"> 3.9.4.8 </t>
  </si>
  <si>
    <t xml:space="preserve"> ED-49189 </t>
  </si>
  <si>
    <t>CAIXA DE LIGAÇÃO/PASSAGEM EM PVC RÍGIDO PARA ELETRODUTO, OCTOGONAL COM FUNDO MÓVEL, DIMENSÕES 4"X4", EMBUTIDA EM LAJE   FORNECIMENTO E INSTALAÇÃO</t>
  </si>
  <si>
    <t xml:space="preserve"> 3.9.4.9 </t>
  </si>
  <si>
    <t xml:space="preserve"> 103783 </t>
  </si>
  <si>
    <t>LUMINÁRIA TIPO PLAFON QUADRADA, DE SOBREPOR, COM LED DE 12 W - FORNECIMENTO E INSTALAÇÃO. AF_09/2024</t>
  </si>
  <si>
    <t xml:space="preserve"> 3.9.4.10 </t>
  </si>
  <si>
    <t xml:space="preserve"> 13157 </t>
  </si>
  <si>
    <t>Luminária plafon (sobrepor) 22,5 x 22,5 - 18 W - 6000K - G- Light ou similar</t>
  </si>
  <si>
    <t xml:space="preserve"> 3.9.4.11 </t>
  </si>
  <si>
    <t xml:space="preserve"> 13158 </t>
  </si>
  <si>
    <t>Luminária plafon (sobrepor) 40 x 40 - 36 W - 6000K - G- Light ou similar</t>
  </si>
  <si>
    <t xml:space="preserve"> 3.9.4.12 </t>
  </si>
  <si>
    <t xml:space="preserve"> 13716 </t>
  </si>
  <si>
    <t>Fornecimento e instalação de fita de LED auto colante, e = 2mm, 3000k (luz amarela), g-light ou similar. Exclusive fonte</t>
  </si>
  <si>
    <t xml:space="preserve"> 3.9.4.13 </t>
  </si>
  <si>
    <t xml:space="preserve"> 10724 </t>
  </si>
  <si>
    <t>Fornecimento e instalação de fonte de alimentação  12V / 10A (ou similar)</t>
  </si>
  <si>
    <t xml:space="preserve"> 3.9.4.14 </t>
  </si>
  <si>
    <t xml:space="preserve"> 10351 </t>
  </si>
  <si>
    <t>Luminária tipo espeto para jardim com lâmpada led 3w</t>
  </si>
  <si>
    <t xml:space="preserve"> 3.9.4.15 </t>
  </si>
  <si>
    <t xml:space="preserve"> 060452 </t>
  </si>
  <si>
    <t>SBC</t>
  </si>
  <si>
    <t>REFLETOR HOLOFOTE MICROLED SMD 100W RGB COLORIDO C/ CONTROLE</t>
  </si>
  <si>
    <t xml:space="preserve"> 3.9.4.16 </t>
  </si>
  <si>
    <t>Refletor Slim LED 150W de potência, branco Frio, 6500k, Autovolt, marca G-light ou similar</t>
  </si>
  <si>
    <t xml:space="preserve"> 3.9.4.17 </t>
  </si>
  <si>
    <t xml:space="preserve"> ED-49523 </t>
  </si>
  <si>
    <t>RELÉ FOTOELÉTRICO, TENSÃO 120V COM CAPACIDADE DE CARGA 1200VA, INCLUSIVE BASE E INSTALAÇÃO</t>
  </si>
  <si>
    <t xml:space="preserve"> 3.9.4.18 </t>
  </si>
  <si>
    <t xml:space="preserve"> ED-13337 </t>
  </si>
  <si>
    <t>LUMINÁRIA COMERCIAL CHANFRADA DE SOBREPOR COMPLETA, PARA DUAS (2) LÂMPADAS TUBULARES LED 2X9W ØT8, TEMPERATURA DA COR 6500K, FORNECIMENTO E INSTALAÇÃO, INCLUSIVE BASE E LÂMPADAS</t>
  </si>
  <si>
    <t xml:space="preserve"> 3.9.4.19 </t>
  </si>
  <si>
    <t xml:space="preserve"> 060631 </t>
  </si>
  <si>
    <t>LUMINARIA BALIZADOR LED PAREDE ESCADA 3000K CAIXA 4X2 ST759</t>
  </si>
  <si>
    <t xml:space="preserve"> 3.9.5 </t>
  </si>
  <si>
    <t>QUADROS E DISJUNTORES</t>
  </si>
  <si>
    <t xml:space="preserve"> 3.9.5.1 </t>
  </si>
  <si>
    <t xml:space="preserve"> ED-14186 </t>
  </si>
  <si>
    <t>QUADRO DE DISTRIBUIÇÃO DE EMBUTIR EM CHAPA, PARA 16 DISJUNTORES DIN, INCLUSIVE BARRAMENTOS NEUTRO/TERRA E BARRAMENTO TRIFÁSICO DE 100A</t>
  </si>
  <si>
    <t xml:space="preserve"> 3.9.5.2 </t>
  </si>
  <si>
    <t xml:space="preserve"> 101879 </t>
  </si>
  <si>
    <t>QUADRO DE DISTRIBUIÇÃO DE ENERGIA EM CHAPA DE AÇO GALVANIZADO, DE EMBUTIR, COM BARRAMENTO TRIFÁSICO, PARA 24 DISJUNTORES DIN 100A - FORNECIMENTO E INSTALAÇÃO. AF_07/2025</t>
  </si>
  <si>
    <t xml:space="preserve"> 3.9.5.3 </t>
  </si>
  <si>
    <t xml:space="preserve"> 12889 </t>
  </si>
  <si>
    <t>Placa de sinalizacao, fotoluminescente, em pvc , com logotipo "Cuidado risco de choque elétrico"- Placa E5</t>
  </si>
  <si>
    <t xml:space="preserve"> 3.9.5.4 </t>
  </si>
  <si>
    <t xml:space="preserve"> ED-34461 </t>
  </si>
  <si>
    <t>DISJUNTOR MONOPOLAR TIPO DIN, CORRENTE NOMINAL DE 16A, FORNECIMENTO E INSTALAÇÃO, INCLUSIVE TERMINAL ILHÓS</t>
  </si>
  <si>
    <t xml:space="preserve"> 3.9.5.5 </t>
  </si>
  <si>
    <t xml:space="preserve"> ED-34462 </t>
  </si>
  <si>
    <t>DISJUNTOR MONOPOLAR TIPO DIN, CORRENTE NOMINAL DE 20A, FORNECIMENTO E INSTALAÇÃO, INCLUSIVE TERMINAL ILHÓS</t>
  </si>
  <si>
    <t xml:space="preserve"> 3.9.5.6 </t>
  </si>
  <si>
    <t xml:space="preserve"> ED-34475 </t>
  </si>
  <si>
    <t>DISJUNTOR BIPOLAR TIPO DIN, CORRENTE NOMINAL DE 20A, FORNECIMENTO E INSTALAÇÃO, INCLUSIVE TERMINAL ILHÓS</t>
  </si>
  <si>
    <t xml:space="preserve"> 3.9.5.7 </t>
  </si>
  <si>
    <t xml:space="preserve"> ED-34477 </t>
  </si>
  <si>
    <t>DISJUNTOR BIPOLAR TIPO DIN, CORRENTE NOMINAL DE 32A, FORNECIMENTO E INSTALAÇÃO, INCLUSIVE TERMINAL ILHÓS</t>
  </si>
  <si>
    <t xml:space="preserve"> 3.9.5.8 </t>
  </si>
  <si>
    <t xml:space="preserve"> ED-34486 </t>
  </si>
  <si>
    <t>DISJUNTOR TRIPOLAR TIPO DIN, CORRENTE NOMINAL DE 10A, FORNECIMENTO E INSTALAÇÃO, INCLUSIVE TERMINAL ILHÓS</t>
  </si>
  <si>
    <t xml:space="preserve"> 3.9.5.9 </t>
  </si>
  <si>
    <t xml:space="preserve"> ED-34489 </t>
  </si>
  <si>
    <t>DISJUNTOR TRIPOLAR TIPO DIN, CORRENTE NOMINAL DE 25A, FORNECIMENTO E INSTALAÇÃO, INCLUSIVE TERMINAL ILHÓS</t>
  </si>
  <si>
    <t xml:space="preserve"> 3.9.5.10 </t>
  </si>
  <si>
    <t xml:space="preserve"> ED-34493 </t>
  </si>
  <si>
    <t>DISJUNTOR TRIPOLAR TIPO DIN, CORRENTE NOMINAL DE 63A, FORNECIMENTO E INSTALAÇÃO, INCLUSIVE TERMINAL ILHÓS</t>
  </si>
  <si>
    <t xml:space="preserve"> 3.9.5.11 </t>
  </si>
  <si>
    <t xml:space="preserve"> ED-34495 </t>
  </si>
  <si>
    <t>DISJUNTOR TRIPOLAR TIPO DIN, CORRENTE NOMINAL DE 80A, FORNECIMENTO E INSTALAÇÃO, INCLUSIVE TERMINAL ILHÓS</t>
  </si>
  <si>
    <t xml:space="preserve"> 3.9.5.12 </t>
  </si>
  <si>
    <t xml:space="preserve"> ED-15114 </t>
  </si>
  <si>
    <t>DISJUNTOR DE PROTEÇÃO DIFERENCIAL RESIDUAL (DR), BIPOLAR TIPO DIN, CORRENTE NOMINAL DE 25A, SENSIBILIDADE DE 30MA, FORNECIMENTO E INSTALAÇÃO, INCLUSIVE TERMINAL ILHÓS</t>
  </si>
  <si>
    <t xml:space="preserve"> 3.9.5.13 </t>
  </si>
  <si>
    <t xml:space="preserve"> ED-15115 </t>
  </si>
  <si>
    <t>DISJUNTOR DE PROTEÇÃO DIFERENCIAL RESIDUAL (DR), BIPOLAR TIPO DIN, CORRENTE NOMINAL DE 40A, SENSIBILIDADE DE 30MA, FORNECIMENTO E INSTALAÇÃO, INCLUSIVE TERMINAL ILHÓS</t>
  </si>
  <si>
    <t xml:space="preserve"> 3.10 </t>
  </si>
  <si>
    <t>ESQUADRIAS</t>
  </si>
  <si>
    <t xml:space="preserve"> 3.10.1 </t>
  </si>
  <si>
    <t xml:space="preserve"> ED-49602 </t>
  </si>
  <si>
    <t>PORTA DE MADEIRA COMPLETA, DIMENSÃO (80X210)CM, TIPO DE ABRIR, UMA (1) FOLHA, ACABAMENTO NATURAL PARA PINTURA/VERNIZ, TIPO PRANCHETA/SARRAFEADA, INCLUSIVE MARCO, ALIZAR E FERRAGENS, EXCLUSIVE PINTURA/VERNIZ</t>
  </si>
  <si>
    <t xml:space="preserve"> 3.10.2 </t>
  </si>
  <si>
    <t xml:space="preserve"> ED-49603 </t>
  </si>
  <si>
    <t>PORTA DE MADEIRA COMPLETA, DIMENSÃO (90X210)CM, TIPO DE ABRIR, UMA (1) FOLHA, ACABAMENTO NATURAL PARA PINTURA/VERNIZ, TIPO PRANCHETA/SARRAFEADA, INCLUSIVE MARCO, ALIZAR E FERRAGENS, EXCLUSIVE PINTURA/VERNIZ</t>
  </si>
  <si>
    <t xml:space="preserve"> 3.10.3 </t>
  </si>
  <si>
    <t xml:space="preserve"> 1101004027 </t>
  </si>
  <si>
    <t>AGESUL</t>
  </si>
  <si>
    <t>JANELA BASCULANTE EM ALUMINIO, LINHA SUPREMA, ACABAMENTO ANODIZADO FOSCO NA COR PRETA/BRANCA, COM CONTRAMARCO, EXCLUSIVE VIDRO - FORNECIMENTO E INSTALACAO</t>
  </si>
  <si>
    <t xml:space="preserve"> 3.10.4 </t>
  </si>
  <si>
    <t xml:space="preserve"> 1101004020 </t>
  </si>
  <si>
    <t>JANELA DE CORRER EM ALUMINIO, LINHA SUPREMA, ACABAMENTO ANODIZADO FOSCO NA COR PRETA/BRANCA, COM CONTRAMARCO, EXCLUSIVE VIDRO - FORNECIMENTO E INSTALACAO</t>
  </si>
  <si>
    <t xml:space="preserve"> 3.10.5 </t>
  </si>
  <si>
    <t xml:space="preserve"> 102179 </t>
  </si>
  <si>
    <t>INSTALAÇÃO DE VIDRO TEMPERADO, E = 6 MM, ENCAIXADO EM PERFIL U. AF_01/2021_PS</t>
  </si>
  <si>
    <t xml:space="preserve"> 3.10.6 </t>
  </si>
  <si>
    <t xml:space="preserve"> 91341 </t>
  </si>
  <si>
    <t>PORTA EM ALUMÍNIO DE ABRIR TIPO VENEZIANA COM GUARNIÇÃO, FIXAÇÃO COM PARAFUSOS - FORNECIMENTO E INSTALAÇÃO. AF_12/2019</t>
  </si>
  <si>
    <t xml:space="preserve"> 3.10.7 </t>
  </si>
  <si>
    <t xml:space="preserve"> ED-49705 </t>
  </si>
  <si>
    <t>TARJETA CROMADA, TIPO LIVRE/OCUPADO, INSTALADA EM PORTA DE SANITÁRIO, INCLUSIVE ACESSÓRIOS PARA FIXAÇÃO</t>
  </si>
  <si>
    <t xml:space="preserve"> 3.10.8 </t>
  </si>
  <si>
    <t xml:space="preserve"> 25.20.020 </t>
  </si>
  <si>
    <t>CPOS/CDHU</t>
  </si>
  <si>
    <t>TELA DE PROTEÇÃO TIPO MOSQUITEIRA REMOVÍVEL, EM FIBRA DE VIDRO COM REVESTIMENTO EM PVC E REQUADRO EM ALUMÍNIO</t>
  </si>
  <si>
    <t xml:space="preserve"> 3.10.9 </t>
  </si>
  <si>
    <t xml:space="preserve"> ED-13784 </t>
  </si>
  <si>
    <t>PORTA AÇO DE ENROLAR, TIPO LÂMINA RAIADA, COM ABERTURA MANUAL, COMPLETA, INCLUSIVE FORNECIMENTO, EIXO, MOLA, SOLEIRA, ETIQUETA, CAVALETE, GUIAS E FITAS (FORNECIMENTO/FABRICAÇÃO)</t>
  </si>
  <si>
    <t xml:space="preserve"> 3.11 </t>
  </si>
  <si>
    <t>REVESTIMENTO</t>
  </si>
  <si>
    <t xml:space="preserve"> 3.11.1 </t>
  </si>
  <si>
    <t xml:space="preserve"> 87879 </t>
  </si>
  <si>
    <t>CHAPISCO APLICADO EM ALVENARIAS E ESTRUTURAS DE CONCRETO INTERNAS, COM COLHER DE PEDREIRO. ARGAMASSA TRAÇO 1:3 COM PREPARO EM BETONEIRA 400L. AF_10/2022</t>
  </si>
  <si>
    <t xml:space="preserve"> 3.11.2 </t>
  </si>
  <si>
    <t xml:space="preserve"> 104958 </t>
  </si>
  <si>
    <t>MASSA ÚNICA, EM ARGAMASSA TRAÇO 1:2:8 PREPARO MECÂNICO, APLICADA MANUALMENTE EM PAREDES INTERNAS DE AMBIENTES COM ÁREA MAIOR QUE 10M², E = 10MM, COM TALISCAS. AF_03/2024</t>
  </si>
  <si>
    <t xml:space="preserve"> 3.11.3 </t>
  </si>
  <si>
    <t xml:space="preserve"> 87554 </t>
  </si>
  <si>
    <t>EMBOÇO, EM ARGAMASSA TRAÇO 1:2:8, PREPARO MANUAL, APLICADO MANUALMENTE EM PAREDES INTERNAS DE AMBIENTES COM ÁREA MAIOR QUE 10M², E = 10MM, COM TALISCAS. AF_03/2024</t>
  </si>
  <si>
    <t xml:space="preserve"> 3.11.4 </t>
  </si>
  <si>
    <t xml:space="preserve"> 87273 </t>
  </si>
  <si>
    <t>REVESTIMENTO CERÂMICO PARA PAREDES INTERNAS COM PLACAS TIPO ESMALTADA DE DIMENSÕES 33X45 CM APLICADAS NA ALTURA INTEIRA DAS PAREDES. AF_02/2023_PE</t>
  </si>
  <si>
    <t xml:space="preserve"> 3.11.5 </t>
  </si>
  <si>
    <t xml:space="preserve"> ED-50754 </t>
  </si>
  <si>
    <t>REVESTIMENTO COM PORCELANATO APLICADO EM PISO, ACABAMENTO POLÍDO, AMBIENTE INTERNO, PADRÃO EXTRA, BORDA RETIFICADA, DIMENSÃO DA PEÇA (60X60)CM, ASSENTAMENTO COM ARGAMASSA INDUSTRIALIZADA, INCLUSIVE REJUNTAMENTO</t>
  </si>
  <si>
    <t xml:space="preserve"> 3.11.6 </t>
  </si>
  <si>
    <t xml:space="preserve"> ED-9066 </t>
  </si>
  <si>
    <t>REVESTIMENTO DE GESSO EM TETO, ESP. 5MM, APLICAÇÃO MANUAL, INCLUSIVE ACABAMENTO SARRAFEADO</t>
  </si>
  <si>
    <t xml:space="preserve"> 3.12 </t>
  </si>
  <si>
    <t>PISO</t>
  </si>
  <si>
    <t xml:space="preserve"> 3.12.1 </t>
  </si>
  <si>
    <t xml:space="preserve"> ED-50566 </t>
  </si>
  <si>
    <t>CONTRAPISO DESEMPENADO COM ARGAMASSA, TRAÇO 1:3 (CIMENTO E AREIA), ESP. 20MM, INCLUSIVE ARGAMASSA COM PREPARO MECANIZADO</t>
  </si>
  <si>
    <t xml:space="preserve"> 3.12.2 </t>
  </si>
  <si>
    <t xml:space="preserve"> ED-13286 </t>
  </si>
  <si>
    <t>CAMADA DE REGULARIZAÇÃO COM ARGAMASSA, TRAÇO 1:3 (CIMENTO E AREIA), ESP. 15MM, APLICAÇÃO MANUAL, INCLUSIVE ARGAMASSA COM PREPARO MECANIZADO</t>
  </si>
  <si>
    <t xml:space="preserve"> 3.12.3 </t>
  </si>
  <si>
    <t xml:space="preserve"> ED-50543 </t>
  </si>
  <si>
    <t>REVESTIMENTO COM CERÂMICA APLICADO EM PISO, ACABAMENTO ESMALTADO, AMBIENTE EXTERNO (ANTIDERRAPANTE), PADRÃO EXTRA, DIMENSÃO DA PEÇA ATÉ 2025 CM2, PEI V, ASSENTAMENTO COM ARGAMASSA INDUSTRIALIZADA, INCLUSIVE REJUNTAMENTO</t>
  </si>
  <si>
    <t xml:space="preserve"> 3.12.4 </t>
  </si>
  <si>
    <t xml:space="preserve"> ED-50771 </t>
  </si>
  <si>
    <t>RODAPÉ COM REVESTIMENTO EM CERÂMICA ESMALTADA COMERCIAL, ALTURA 10CM, PEI IV, ASSENTAMENTO COM ARGAMASSA INDUSTRIALIZADA, INCLUSIVE REJUNTAMENTO</t>
  </si>
  <si>
    <t xml:space="preserve"> 3.12.5 </t>
  </si>
  <si>
    <t xml:space="preserve"> 92397 </t>
  </si>
  <si>
    <t>EXECUÇÃO DE PAVIMENTO EM PISO INTERTRAVADO, COM BLOCO RETANGULAR COR NATURAL DE 20 X 10 CM, ESPESSURA 6 CM. AF_10/2022</t>
  </si>
  <si>
    <t xml:space="preserve"> 3.12.6 </t>
  </si>
  <si>
    <t xml:space="preserve"> 4555 </t>
  </si>
  <si>
    <t>Meio-fio pré moldado de concreto simples (0,12 x 0,30 x 1,00m), rejuntado comargamassa de cimento e areia no traço 1:3</t>
  </si>
  <si>
    <t xml:space="preserve"> 3.13 </t>
  </si>
  <si>
    <t>PEDRAS, LOUÇAS E METAIS</t>
  </si>
  <si>
    <t xml:space="preserve"> 3.13.1 </t>
  </si>
  <si>
    <t xml:space="preserve"> 12444 </t>
  </si>
  <si>
    <t>Divisória em granito branco siena, polido do dois lados, e= 2cm, inclusive montagem com ferragens</t>
  </si>
  <si>
    <t xml:space="preserve"> 3.13.2 </t>
  </si>
  <si>
    <t xml:space="preserve"> 12492 </t>
  </si>
  <si>
    <t>Tampo/bancada em granito branco siena, e=2cm</t>
  </si>
  <si>
    <t xml:space="preserve"> 3.13.3 </t>
  </si>
  <si>
    <t xml:space="preserve"> ED-50279 </t>
  </si>
  <si>
    <t>CUBA DE LOUÇA BRANCA DE EMBUTIR, FORMATO OVAL, INCLUSIVE VÁLVULA DE ESCOAMENTO DE METAL COM ACABAMENTO CROMADO, SIFÃO DE METAL TIPO COPO COM ACABAMENTO CROMADO</t>
  </si>
  <si>
    <t xml:space="preserve"> 3.13.4 </t>
  </si>
  <si>
    <t xml:space="preserve"> ED-50329 </t>
  </si>
  <si>
    <t>TORNEIRA METÁLICA PARA LAVATÓRIO, FECHAMENTO AUTOMÁTICO, ACABAMENTO CROMADO, COM AREJADOR, APLICAÇÃO DE MESA, INCLUSIVE ENGATE FLEXÍVEL METÁLICO</t>
  </si>
  <si>
    <t xml:space="preserve"> 3.13.5 </t>
  </si>
  <si>
    <t xml:space="preserve"> ED-50313 </t>
  </si>
  <si>
    <t>CHUVEIRO ELÉTRICO CROMADO, TENSÃO 127V/220V, POTÊNCIA 5500W/6800W, INCLUSIVE BRAÇO/CANO</t>
  </si>
  <si>
    <t xml:space="preserve"> 3.13.6 </t>
  </si>
  <si>
    <t xml:space="preserve"> ED-50298 </t>
  </si>
  <si>
    <t>BACIA SANITÁRIA (VASO) DE LOUÇA CONVENCIONAL, COR BRANCA, INCLUSIVE ACESSÓRIOS DE FIXAÇÃO/VEDAÇÃO, VÁLVULA DE DESCARGA METÁLICA COM ACIONAMENTO DUPLO, TUBO DE LIGAÇÃO DE LATÃO COM CANOPLA E REJUNTAMENTO, EXCLUSIVE ASSENTO</t>
  </si>
  <si>
    <t xml:space="preserve"> 3.13.7 </t>
  </si>
  <si>
    <t xml:space="preserve"> ED-50301 </t>
  </si>
  <si>
    <t>BACIA SANITÁRIA (VASO) DE LOUÇA CONVENCIONAL ACESSÍVEL (PCR/PMR), COR BRANCA, INCLUSIVE SÓCULO NA BASE, ACESSÓRIOS DE FIXAÇÃO/VEDAÇÃO, VÁLVULA DE DESCARGA METÁLICA COM ACIONAMENTO DUPLO, TUBO DE LIGAÇÃO DE LATÃO COM CANOPLA,E REJUNTAMENTO, EXCLUSIVE ASSENTO</t>
  </si>
  <si>
    <t xml:space="preserve"> 3.13.8 </t>
  </si>
  <si>
    <t xml:space="preserve"> ED-48156 </t>
  </si>
  <si>
    <t>ASSENTO PLÁSTICO PARA BACIA SANITÁRIA, NA COR BRANCA, PADRÃO POPULAR, INCLUSIVE ACESSÓRIOS PARA FIXAÇÃO</t>
  </si>
  <si>
    <t xml:space="preserve"> 3.13.9 </t>
  </si>
  <si>
    <t xml:space="preserve"> ED-50331 </t>
  </si>
  <si>
    <t>TORNEIRA METÁLICA PARA TANQUE, ACABAMENTO CROMADO, BICO COM ROSCA</t>
  </si>
  <si>
    <t xml:space="preserve"> 3.13.10 </t>
  </si>
  <si>
    <t xml:space="preserve"> ED-48183 </t>
  </si>
  <si>
    <t>DISTRIBUIDOR/DISPENSER PARA PAPEL HIGIÊNICO EM PLÁSTICO, TIPO SOBREPOR, INCLUSIVE ACESSÓRIOS DE FIXAÇÃO</t>
  </si>
  <si>
    <t xml:space="preserve"> 3.13.11 </t>
  </si>
  <si>
    <t xml:space="preserve"> ED-48182 </t>
  </si>
  <si>
    <t>DISTRIBUIDOR/DISPENSER PARA PORTA PAPEL TOALHA PARA INTERFOLHAS DE DUAS (2) OU TRÊS (3) DOBRAS, EM PLÁSTICO, INCLUSIVE ACESSÓRIOS PARA FIXAÇÃO</t>
  </si>
  <si>
    <t xml:space="preserve"> 3.13.12 </t>
  </si>
  <si>
    <t xml:space="preserve"> ED-48155 </t>
  </si>
  <si>
    <t>DISTRIBUIDOR/DISPENSER PARA ÁLCOOL EM GEL OU SABONETE LÍQUIDO, EM PLÁSTICO, CAPACIDADE RESERVATÓRIO 800ML, INCLUSIVE ACESSÓRIOS PARA FIXAÇÃO</t>
  </si>
  <si>
    <t xml:space="preserve"> 3.13.13 </t>
  </si>
  <si>
    <t xml:space="preserve"> ED-50283 </t>
  </si>
  <si>
    <t>LAVATÓRIO DE LOUÇA BRANCA SEM COLUNA, TAMANHO MÉDIO, INCLUSIVE ACESSÓRIOS DE FIXAÇÃO, VÁLVULA DE ESCOAMENTO DE METAL COM ACABAMENTO CROMADO, SIFÃO DE METAL TIPO COPO COM ACABAMENTO CROMADO E REJUNTAMENTO, EXCLUSIVE TORNEIRA E ENGATE FLEXÍVEL</t>
  </si>
  <si>
    <t xml:space="preserve"> 3.13.14 </t>
  </si>
  <si>
    <t xml:space="preserve"> ED-48158 </t>
  </si>
  <si>
    <t>BANCO ARTICULADO EM AÇO INOX COM CANTOS ARREDONDADOS, LARGURA DE 45CM, COMPRIMENTO DE 70CM, PARA ACESSIBILIDADE (PMR/PCR), INSTALADO EM PAREDE, INCLUSIVE ACESSÓRIOS PARA FIXAÇÃO</t>
  </si>
  <si>
    <t xml:space="preserve"> 3.13.15 </t>
  </si>
  <si>
    <t xml:space="preserve"> ED-48163 </t>
  </si>
  <si>
    <t>BARRA DE APOIO EM AÇO INOX POLIDO RETA, DIÂMETRO DE 1.1/4", PARA ACESSIBILIDADE (PMR/PCR), COMPRIMENTO 40CM, INSTALADO EM PORTA/PAREDE, INCLUSIVE ACESSÓRIOS PARA FIXAÇÃO</t>
  </si>
  <si>
    <t xml:space="preserve"> 3.13.16 </t>
  </si>
  <si>
    <t xml:space="preserve"> 30.01.020 </t>
  </si>
  <si>
    <t>BARRA DE APOIO RETA, PARA PESSOAS COM MOBILIDADE REDUZIDA, EM TUBO DE AÇO INOXIDÁVEL DE 1 1/2´ X 500 MM</t>
  </si>
  <si>
    <t xml:space="preserve"> 3.13.17 </t>
  </si>
  <si>
    <t xml:space="preserve"> ED-48164 </t>
  </si>
  <si>
    <t>BARRA DE APOIO EM AÇO INOX POLIDO RETA, DIÂMETRO DE 1.1/4", PARA ACESSIBILIDADE (PMR/PCR), COMPRIMENTO 70CM, INSTALADO EM PAREDE, INCLUSIVE ACESSÓRIOS PARA FIXAÇÃO</t>
  </si>
  <si>
    <t xml:space="preserve"> 3.13.18 </t>
  </si>
  <si>
    <t xml:space="preserve"> ED-48160 </t>
  </si>
  <si>
    <t>BARRA DE APOIO EM AÇO INOX POLIDO RETA, DIÂMETRO DE 1.1/4", PARA ACESSIBILIDADE (PMR/PCR), COMPRIMENTO 80CM, INSTALADO EM PAREDE, INCLUSIVE ACESSÓRIOS PARA FIXAÇÃO</t>
  </si>
  <si>
    <t xml:space="preserve"> 3.13.19 </t>
  </si>
  <si>
    <t xml:space="preserve"> 30.04.060 </t>
  </si>
  <si>
    <t>REVESTIMENTO EM CHAPA DE AÇO INOXIDÁVEL PARA PROTEÇÃO DE PORTAS, ALTURA DE 40 CM</t>
  </si>
  <si>
    <t xml:space="preserve"> 3.13.20 </t>
  </si>
  <si>
    <t xml:space="preserve"> 9718 </t>
  </si>
  <si>
    <t>Espelho de cristal 4mm com moldura de alumínio</t>
  </si>
  <si>
    <t xml:space="preserve"> 3.13.21 </t>
  </si>
  <si>
    <t xml:space="preserve"> ED-50621 </t>
  </si>
  <si>
    <t>SÓCULO COM ENCHIMENTO EM TIJOLOS MACIÇOS, ALTURA DE 10CM À 12CM, INCLUSIVE ACABAMENTO EM REVESTIMENTO DE ARGAMASSA, ESP. 20MM, COM APLICAÇÃO MANUAL</t>
  </si>
  <si>
    <t xml:space="preserve"> 3.13.22 </t>
  </si>
  <si>
    <t xml:space="preserve"> ED-50278 </t>
  </si>
  <si>
    <t>CUBA EM AÇO INOXIDÁVEL DE EMBUTIR, AISI 304, APLICAÇÃO PARA PIA (560X330X115)MM, NÚMERO 2, ASSENTAMENTO EM BANCADA, INCLUSIVE VÁLVULA DE ESCOAMENTO DE METAL COM ACABAMENTO CROMADO, SIFÃO DE METAL TIPO COPO COM ACABAMENTO CROMADO</t>
  </si>
  <si>
    <t xml:space="preserve"> 3.13.23 </t>
  </si>
  <si>
    <t xml:space="preserve"> ED-50324 </t>
  </si>
  <si>
    <t>TORNEIRA METÁLICA PARA PIA, BICA MÓVEL, ABERTURA 1/4 DE VOLTA, ACABAMENTO CROMADO, COM AREJADOR, APLICAÇÃO DE MESA, INCLUSIVE ENGATE FLEXÍVEL METÁLICO</t>
  </si>
  <si>
    <t xml:space="preserve"> 3.13.24 </t>
  </si>
  <si>
    <t xml:space="preserve"> 10204 </t>
  </si>
  <si>
    <t>Porta para armários com moldura em alumínio (alumínio/acrílico), inclusive ferragens</t>
  </si>
  <si>
    <t xml:space="preserve"> 3.13.25 </t>
  </si>
  <si>
    <t xml:space="preserve"> 12445 </t>
  </si>
  <si>
    <t>Soleira em granito branco siena, polido, l = 15 cm, e = 2 cm</t>
  </si>
  <si>
    <t xml:space="preserve"> 3.13.26 </t>
  </si>
  <si>
    <t xml:space="preserve"> 12446 </t>
  </si>
  <si>
    <t>Peitoril em granito branco siena, polido, c/ largura = 22 cm, esp = 2 cm</t>
  </si>
  <si>
    <t xml:space="preserve"> 3.14 </t>
  </si>
  <si>
    <t>PINTURA</t>
  </si>
  <si>
    <t xml:space="preserve"> 3.14.1 </t>
  </si>
  <si>
    <t>PAREDES</t>
  </si>
  <si>
    <t xml:space="preserve"> 3.14.1.1 </t>
  </si>
  <si>
    <t xml:space="preserve"> ED-50514 </t>
  </si>
  <si>
    <t>PREPARAÇÃO PARA EMASSAMENTO OU PINTURA (LÁTEX/ACRÍLICA) EM PAREDE, INCLUSIVE UMA (1) DEMÃO DE SELADOR ACRÍLICO</t>
  </si>
  <si>
    <t xml:space="preserve"> 3.14.1.2 </t>
  </si>
  <si>
    <t xml:space="preserve"> 104648 </t>
  </si>
  <si>
    <t>EMASSAMENTO COM MASSA LÁTEX, APLICAÇÃO EM PAREDE, DUAS DEMÃOS, LIXAMENTO MECANIZADO. AF_04/2023</t>
  </si>
  <si>
    <t xml:space="preserve"> 3.14.1.3 </t>
  </si>
  <si>
    <t xml:space="preserve"> 88489 </t>
  </si>
  <si>
    <t>PINTURA LÁTEX ACRÍLICA PREMIUM, APLICAÇÃO MANUAL EM PAREDES, DUAS DEMÃOS. AF_04/2023</t>
  </si>
  <si>
    <t xml:space="preserve"> 3.14.1.4 </t>
  </si>
  <si>
    <t xml:space="preserve"> ED-9013 </t>
  </si>
  <si>
    <t>PINTURA COM TEXTURA ACRÍLICA COM DESEMPENADEIRA DE AÇO, EXCLUSIVE SELADOR ACRÍLICO/FUNDO PREPARADOR</t>
  </si>
  <si>
    <t xml:space="preserve"> 3.14.2 </t>
  </si>
  <si>
    <t>TETO</t>
  </si>
  <si>
    <t xml:space="preserve"> 3.14.2.1 </t>
  </si>
  <si>
    <t xml:space="preserve"> 88488 </t>
  </si>
  <si>
    <t>PINTURA LÁTEX ACRÍLICA PREMIUM, APLICAÇÃO MANUAL EM TETO, DUAS DEMÃOS. AF_04/2023</t>
  </si>
  <si>
    <t xml:space="preserve"> 3.14.3 </t>
  </si>
  <si>
    <t xml:space="preserve"> 3.14.3.1 </t>
  </si>
  <si>
    <t xml:space="preserve"> ED-50482 </t>
  </si>
  <si>
    <t>EMASSAMENTO EM ESQUADRIA DE MADEIRA COM MASSA A ÓLEO, DUAS (2) DEMÃOS, INCLUSIVE LIXAMENTO PARA PINTURA  A ÓLEO OU ESMALTE</t>
  </si>
  <si>
    <t xml:space="preserve"> 3.14.3.2 </t>
  </si>
  <si>
    <t xml:space="preserve"> ED-28438 </t>
  </si>
  <si>
    <t>PINTURA ESMALTE BASE SOLVENTE EM SUPERFÍCIE DE MADEIRA, DUAS (2) DEMÃOS, COM APLICAÇÃO MANUAL, INCLUSIVE PREPARAÇÃO DA SUPERFÍCIE COM LIXAMENTO, EXCLUSIVE FUNDO NIVELADOR E MASSA A ÓLEO</t>
  </si>
  <si>
    <t xml:space="preserve"> 3.14.3.3 </t>
  </si>
  <si>
    <t xml:space="preserve"> ED-50491 </t>
  </si>
  <si>
    <t>PINTURA ESMALTE BASE SOLVENTE EM ESQUADRIAS DE FERRO, DUAS (2) DEMÃOS, COM APLICAÇÃO MANUAL, INCLUSIVE UMA (1) DEMÃO DE FUNDO ANTICORROSIVO</t>
  </si>
  <si>
    <t xml:space="preserve"> 3.14.4 </t>
  </si>
  <si>
    <t>MUROS</t>
  </si>
  <si>
    <t xml:space="preserve"> 3.14.4.1 </t>
  </si>
  <si>
    <t xml:space="preserve"> 3.14.4.2 </t>
  </si>
  <si>
    <t xml:space="preserve"> 3.15 </t>
  </si>
  <si>
    <t>PAISAGISMO</t>
  </si>
  <si>
    <t xml:space="preserve"> 3.15.1 </t>
  </si>
  <si>
    <t xml:space="preserve"> 103946 </t>
  </si>
  <si>
    <t>PLANTIO DE GRAMA ESMERALDA OU SÃO CARLOS OU CURITIBANA, EM PLACAS. AF_07/2024</t>
  </si>
  <si>
    <t xml:space="preserve"> 3.15.2 </t>
  </si>
  <si>
    <t xml:space="preserve"> 98509 </t>
  </si>
  <si>
    <t>PLANTIO DE ARBUSTO OU CERCA VIVA. AF_07/2024 [HORTÊNCIA]</t>
  </si>
  <si>
    <t xml:space="preserve"> 3.15.3 </t>
  </si>
  <si>
    <t xml:space="preserve"> 9868 </t>
  </si>
  <si>
    <t>Planta - Ixora rei vermelha (ixora coccinea red), fornecimento e plantio</t>
  </si>
  <si>
    <t xml:space="preserve"> 3.15.4 </t>
  </si>
  <si>
    <t xml:space="preserve"> 9998 </t>
  </si>
  <si>
    <t>Planta - Yuca Elefante (yucca elephantipes), h=1,60m, fornecimento e plantio</t>
  </si>
  <si>
    <t xml:space="preserve"> 3.15.5 </t>
  </si>
  <si>
    <t xml:space="preserve"> 7634 </t>
  </si>
  <si>
    <t>Planta - Ipê amarelo de jardim (tecoma stans), fornecimento e plantio</t>
  </si>
  <si>
    <t xml:space="preserve"> 3.16 </t>
  </si>
  <si>
    <t>DIVERSOS</t>
  </si>
  <si>
    <t xml:space="preserve"> 3.16.1 </t>
  </si>
  <si>
    <t xml:space="preserve"> 7771 </t>
  </si>
  <si>
    <t>Placa em acrílico branco leitoso dupla, tipo sanduiche, com aplicação de adesivo sobreposto</t>
  </si>
  <si>
    <t xml:space="preserve"> 4 </t>
  </si>
  <si>
    <t>SERVIÇOS FINAIS</t>
  </si>
  <si>
    <t xml:space="preserve"> 4.1 </t>
  </si>
  <si>
    <t xml:space="preserve"> 2201000010 </t>
  </si>
  <si>
    <t>LIMPEZA FINAL DA OBRA</t>
  </si>
  <si>
    <r>
      <t xml:space="preserve">  PREFEITURA MUNICIPAL DE BOA ESPERANÇA– MG
SECRETARIA MUNICIPAL DE EDUCAÇÃO
</t>
    </r>
    <r>
      <rPr>
        <b/>
        <i/>
        <sz val="12"/>
        <rFont val="Times New Roman"/>
        <family val="1"/>
      </rPr>
      <t>ENGENHARIA E PROJETOS</t>
    </r>
    <r>
      <rPr>
        <b/>
        <sz val="14"/>
        <rFont val="Times New Roman"/>
        <family val="1"/>
      </rPr>
      <t xml:space="preserve">
</t>
    </r>
  </si>
  <si>
    <t>PLANILHA ORÇAMENTÁRIA</t>
  </si>
  <si>
    <t>LICITAÇÃO Nº</t>
  </si>
  <si>
    <t>EDITAL Nº</t>
  </si>
  <si>
    <t>ÓRGÃO</t>
  </si>
  <si>
    <t>PREFEITURA MUNICIPAL DE BOA ESPERANÇA</t>
  </si>
  <si>
    <t>DATA DO ORÇAMENTO</t>
  </si>
  <si>
    <t>OBJETO</t>
  </si>
  <si>
    <t>LOTE</t>
  </si>
  <si>
    <t>ENDEREÇO</t>
  </si>
  <si>
    <t>MODALIDADE</t>
  </si>
  <si>
    <t>CONCORRÊNCIA</t>
  </si>
  <si>
    <t>REGIME DE EXECUÇÃO</t>
  </si>
  <si>
    <t>1 – Empreitada por Preço Global</t>
  </si>
  <si>
    <t>CIDADE</t>
  </si>
  <si>
    <t>BOA ESPERANÇA</t>
  </si>
  <si>
    <t>UF</t>
  </si>
  <si>
    <t>MG</t>
  </si>
  <si>
    <r>
      <t xml:space="preserve">DATA BASE DO ORÇAMENTO </t>
    </r>
    <r>
      <rPr>
        <sz val="10"/>
        <rFont val="Arial"/>
        <family val="2"/>
      </rPr>
      <t>(mês/ano)</t>
    </r>
  </si>
  <si>
    <t>DESONERAÇÃO</t>
  </si>
  <si>
    <t>ENCARGOS SOCIAIS - HORISTAS (%)</t>
  </si>
  <si>
    <t>BDI 1</t>
  </si>
  <si>
    <t>BDI 2</t>
  </si>
  <si>
    <t>Sim</t>
  </si>
  <si>
    <t>ENCARGOS SOCIAIS - MENSALISTAS (%)</t>
  </si>
  <si>
    <t>CONSTRUÇÃO DE COBERTURA DE QUADRA ESPORTIVA, PALCO E VESTIÁRIOS NA ESCOLA MUNICIPAL ACHILLES NAVES</t>
  </si>
  <si>
    <t>RUA PERNAMBUCO Nº 352, BAIRRO MARINGÁ, BOA ESPERANÇA-MG</t>
  </si>
  <si>
    <t>TOTAL COM BDI</t>
  </si>
  <si>
    <t>BOA ESPERANÇA, MG</t>
  </si>
  <si>
    <t>Local</t>
  </si>
  <si>
    <t>Data</t>
  </si>
  <si>
    <t>Prefeito Municipal</t>
  </si>
  <si>
    <t>AROLDO ROSA DE MEDEIROS JÚNIOR</t>
  </si>
  <si>
    <t>Responsável Técnico</t>
  </si>
  <si>
    <t>JÉSSICA CAROLINE OLIVEIRA FERREIRA</t>
  </si>
  <si>
    <t>ENGENHEIRA CIVIL - CREA: 303607/D</t>
  </si>
  <si>
    <t xml:space="preserve">SINAPI - 02/2026 SBC - 03/2026                     ORSE - 01/2026 SEINFRA - 028 SETOP SUL - 01/2026                   SUDECAP - 10/2025 CPOS - 01/2026 AGESUL - 01/2026 AGETOP CIVIL - 12/2025 </t>
  </si>
  <si>
    <r>
      <t xml:space="preserve">                                                                                                                                                                              PREFEITURA MUNICIPAL DE BOA ESPERANÇA– MG
SECRETARIA MUNICIPAL DE EDUCAÇÃO
</t>
    </r>
    <r>
      <rPr>
        <b/>
        <i/>
        <sz val="12"/>
        <rFont val="Times New Roman"/>
        <family val="1"/>
      </rPr>
      <t>ENGENHARIA E PROJETOS</t>
    </r>
    <r>
      <rPr>
        <b/>
        <sz val="14"/>
        <rFont val="Times New Roman"/>
        <family val="1"/>
      </rPr>
      <t xml:space="preserve">
</t>
    </r>
  </si>
  <si>
    <t>BENEFÍCIOS E DESPESAS INDIRETAS - BDI</t>
  </si>
  <si>
    <t>Conforme legislação tributária municipal, definir estimativa de percentual da base de cálculo para o ISS:</t>
  </si>
  <si>
    <t>Sobre a base de cálculo, definir a respectiva alíquota do ISS (entre 2% e 5%):</t>
  </si>
  <si>
    <t>TIPO DE OBRA</t>
  </si>
  <si>
    <t>Construção e Reforma de Edifícios</t>
  </si>
  <si>
    <t>Itens</t>
  </si>
  <si>
    <t>Siglas</t>
  </si>
  <si>
    <t>% Adotado</t>
  </si>
  <si>
    <t>Situação</t>
  </si>
  <si>
    <t>1º Quartil</t>
  </si>
  <si>
    <t>Médio</t>
  </si>
  <si>
    <t>AC</t>
  </si>
  <si>
    <t>-</t>
  </si>
  <si>
    <t>SG</t>
  </si>
  <si>
    <t>R</t>
  </si>
  <si>
    <t>DF</t>
  </si>
  <si>
    <t>L</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</si>
  <si>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</si>
  <si>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</si>
  <si>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</si>
  <si>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</si>
  <si>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</si>
  <si>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</si>
  <si>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</si>
  <si>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</si>
  <si>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</si>
  <si>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</si>
  <si>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Os valores de BDI foram calculados com o emprego da fórmula:</t>
  </si>
  <si>
    <t>BDI =</t>
  </si>
  <si>
    <t xml:space="preserve"> - 1</t>
  </si>
  <si>
    <t>(1-CP-ISS-CRPB)</t>
  </si>
  <si>
    <t>Declaro para os devidos fins que, conforme legislação tributária municipal, a base de cálculo deste tipo de obra corresponde à 50%, com a respectiva alíquota de 5,0%.</t>
  </si>
  <si>
    <t>Declaro para os devidos fins que o regime de Contribuição Previdenciária sobre a Receita Bruta adotado para elaboração do orçamento foi COM DESONERACAO, e que esta é a alternativa mais adequada para a Administração Pública.</t>
  </si>
  <si>
    <t>Observações:</t>
  </si>
  <si>
    <t>Nome:</t>
  </si>
  <si>
    <t>CREA/CAU:</t>
  </si>
  <si>
    <t>CREA-MG 303607/D</t>
  </si>
  <si>
    <t>ITEM</t>
  </si>
  <si>
    <t>ETAPAS/DESCRIÇÃO</t>
  </si>
  <si>
    <t>FÍSICO/ FINANCEIRO</t>
  </si>
  <si>
    <t>TOTAL  ETAPAS</t>
  </si>
  <si>
    <t>MÊS 1</t>
  </si>
  <si>
    <t>MÊS 2</t>
  </si>
  <si>
    <t>MÊS 3</t>
  </si>
  <si>
    <t>MÊS 4</t>
  </si>
  <si>
    <t>MÊS 5</t>
  </si>
  <si>
    <t>MÊS 6</t>
  </si>
  <si>
    <t>MÊS 7</t>
  </si>
  <si>
    <t>MÊS 8</t>
  </si>
  <si>
    <t>Físico %</t>
  </si>
  <si>
    <t>Financeiro</t>
  </si>
  <si>
    <t>02.</t>
  </si>
  <si>
    <t>03.</t>
  </si>
  <si>
    <t>04.</t>
  </si>
  <si>
    <t>TOTAL</t>
  </si>
  <si>
    <t>ACUMULADO</t>
  </si>
  <si>
    <r>
      <t xml:space="preserve">  PREFEITURA MUNICIPAL DE BOA ESPERANÇA– MG
SECRETARIA MUNICIPAL DE EDUCAÇÃO
</t>
    </r>
    <r>
      <rPr>
        <b/>
        <i/>
        <sz val="12"/>
        <rFont val="Times New Roman"/>
        <family val="1"/>
      </rPr>
      <t>ENGENHARIA E PROJETOS</t>
    </r>
  </si>
  <si>
    <t>CONOGRAMA FÍSICO-FINANCEIRO</t>
  </si>
  <si>
    <t>VALOR DA OBRA:</t>
  </si>
  <si>
    <t>PRAZO DA OBRA:</t>
  </si>
  <si>
    <t>01.</t>
  </si>
  <si>
    <t>8 MESES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</si>
</sst>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quot;R$&quot;\ * #,##0.00_-;\-&quot;R$&quot;\ * #,##0.00_-;_-&quot;R$&quot;\ * &quot;-&quot;??_-;_-@_-"/>
    <numFmt numFmtId="164" formatCode="#,##0.00\ %"/>
    <numFmt numFmtId="165" formatCode="&quot;R$&quot;\ #,##0.00"/>
    <numFmt numFmtId="166" formatCode="_(&quot;R$ &quot;* #,##0.00_);_(&quot;R$ &quot;* \(#,##0.00\);_(&quot;R$ &quot;* \-??_);_(@_)"/>
    <numFmt numFmtId="167" formatCode="General;General"/>
    <numFmt numFmtId="168" formatCode="[$-F800]dddd\,\ mmmm\ dd\,\ yyyy"/>
    <numFmt numFmtId="169" formatCode="dd&quot; de &quot;mmmm&quot; de &quot;yyyy"/>
    <numFmt numFmtId="170" formatCode="_-[$R$-416]\ * #,##0.00_-;\-[$R$-416]\ * #,##0.00_-;_-[$R$-416]\ * &quot;-&quot;??_-;_-@_-"/>
  </numFmts>
  <fonts count="43" x14ac:knownFonts="1">
    <font>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sz val="11"/>
      <name val="Arial"/>
      <family val="1"/>
    </font>
    <font>
      <b/>
      <sz val="11"/>
      <color theme="1"/>
      <name val="Calibri"/>
      <family val="2"/>
      <scheme val="minor"/>
    </font>
    <font>
      <b/>
      <sz val="14"/>
      <name val="Times New Roman"/>
      <family val="1"/>
    </font>
    <font>
      <b/>
      <i/>
      <sz val="12"/>
      <name val="Times New Roman"/>
      <family val="1"/>
    </font>
    <font>
      <b/>
      <sz val="16"/>
      <color theme="1"/>
      <name val="Calibri"/>
      <family val="2"/>
      <scheme val="minor"/>
    </font>
    <font>
      <sz val="10"/>
      <name val="Arial"/>
      <family val="2"/>
    </font>
    <font>
      <b/>
      <sz val="11"/>
      <name val="Calibri"/>
      <family val="2"/>
      <scheme val="minor"/>
    </font>
    <font>
      <b/>
      <sz val="10"/>
      <color theme="1"/>
      <name val="Calibri"/>
      <family val="2"/>
      <scheme val="minor"/>
    </font>
    <font>
      <b/>
      <sz val="16"/>
      <name val="Times New Roman"/>
      <family val="1"/>
    </font>
    <font>
      <b/>
      <sz val="15"/>
      <name val="Times New Roman"/>
      <family val="1"/>
    </font>
    <font>
      <sz val="10"/>
      <color theme="1"/>
      <name val="Times New Roman"/>
      <family val="1"/>
    </font>
    <font>
      <b/>
      <sz val="10"/>
      <name val="Times New Roman"/>
      <family val="1"/>
    </font>
    <font>
      <b/>
      <sz val="10"/>
      <color theme="1"/>
      <name val="Times New Roman"/>
      <family val="1"/>
    </font>
    <font>
      <sz val="10"/>
      <name val="Times New Roman"/>
      <family val="1"/>
    </font>
    <font>
      <sz val="9"/>
      <name val="Arial"/>
      <family val="2"/>
    </font>
    <font>
      <sz val="10"/>
      <color indexed="10"/>
      <name val="Times New Roman"/>
      <family val="1"/>
    </font>
    <font>
      <b/>
      <sz val="10"/>
      <color indexed="10"/>
      <name val="Times New Roman"/>
      <family val="1"/>
    </font>
    <font>
      <i/>
      <sz val="10"/>
      <name val="Times New Roman"/>
      <family val="1"/>
    </font>
    <font>
      <i/>
      <u/>
      <sz val="10"/>
      <name val="Times New Roman"/>
      <family val="1"/>
    </font>
    <font>
      <u/>
      <sz val="10"/>
      <name val="Times New Roman"/>
      <family val="1"/>
    </font>
    <font>
      <b/>
      <sz val="10"/>
      <name val="Arial"/>
      <family val="2"/>
    </font>
    <font>
      <sz val="9"/>
      <color indexed="8"/>
      <name val="Arial"/>
      <family val="2"/>
    </font>
    <font>
      <sz val="8"/>
      <name val="Times New Roman"/>
      <family val="1"/>
    </font>
    <font>
      <b/>
      <sz val="10"/>
      <color indexed="8"/>
      <name val="Arial"/>
      <family val="2"/>
    </font>
    <font>
      <b/>
      <sz val="9"/>
      <color indexed="8"/>
      <name val="Arial"/>
      <family val="2"/>
    </font>
    <font>
      <sz val="11"/>
      <name val="Calibri"/>
      <family val="2"/>
      <scheme val="minor"/>
    </font>
  </fonts>
  <fills count="28">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theme="0" tint="-0.14999847407452621"/>
        <bgColor indexed="64"/>
      </patternFill>
    </fill>
    <fill>
      <patternFill patternType="solid">
        <fgColor rgb="FFFFFF00"/>
        <bgColor indexed="64"/>
      </patternFill>
    </fill>
    <fill>
      <patternFill patternType="solid">
        <fgColor theme="0" tint="-0.14999847407452621"/>
        <bgColor rgb="FFFFC000"/>
      </patternFill>
    </fill>
    <fill>
      <patternFill patternType="solid">
        <fgColor theme="0"/>
        <bgColor indexed="64"/>
      </patternFill>
    </fill>
    <fill>
      <patternFill patternType="solid">
        <fgColor indexed="55"/>
        <bgColor indexed="64"/>
      </patternFill>
    </fill>
    <fill>
      <patternFill patternType="solid">
        <fgColor indexed="43"/>
        <bgColor indexed="26"/>
      </patternFill>
    </fill>
    <fill>
      <patternFill patternType="solid">
        <fgColor indexed="31"/>
        <bgColor indexed="42"/>
      </patternFill>
    </fill>
    <fill>
      <patternFill patternType="solid">
        <fgColor indexed="22"/>
        <bgColor indexed="44"/>
      </patternFill>
    </fill>
    <fill>
      <patternFill patternType="solid">
        <fgColor indexed="9"/>
        <bgColor indexed="64"/>
      </patternFill>
    </fill>
  </fills>
  <borders count="6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medium">
        <color auto="1"/>
      </right>
      <top style="thick">
        <color auto="1"/>
      </top>
      <bottom style="medium">
        <color auto="1"/>
      </bottom>
      <diagonal/>
    </border>
    <border>
      <left style="medium">
        <color indexed="64"/>
      </left>
      <right style="medium">
        <color indexed="64"/>
      </right>
      <top style="thick">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ck">
        <color auto="1"/>
      </left>
      <right/>
      <top style="medium">
        <color auto="1"/>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style="thick">
        <color auto="1"/>
      </left>
      <right/>
      <top/>
      <bottom style="medium">
        <color indexed="64"/>
      </bottom>
      <diagonal/>
    </border>
    <border>
      <left style="medium">
        <color auto="1"/>
      </left>
      <right style="medium">
        <color auto="1"/>
      </right>
      <top/>
      <bottom style="medium">
        <color indexed="64"/>
      </bottom>
      <diagonal/>
    </border>
    <border>
      <left style="medium">
        <color auto="1"/>
      </left>
      <right/>
      <top style="thin">
        <color auto="1"/>
      </top>
      <bottom style="medium">
        <color indexed="64"/>
      </bottom>
      <diagonal/>
    </border>
    <border>
      <left/>
      <right style="medium">
        <color auto="1"/>
      </right>
      <top style="thin">
        <color auto="1"/>
      </top>
      <bottom style="medium">
        <color indexed="64"/>
      </bottom>
      <diagonal/>
    </border>
    <border>
      <left/>
      <right style="medium">
        <color auto="1"/>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style="medium">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right/>
      <top style="thin">
        <color indexed="8"/>
      </top>
      <bottom/>
      <diagonal/>
    </border>
    <border>
      <left/>
      <right style="medium">
        <color indexed="64"/>
      </right>
      <top style="thin">
        <color indexed="8"/>
      </top>
      <bottom/>
      <diagonal/>
    </border>
    <border>
      <left style="medium">
        <color indexed="64"/>
      </left>
      <right/>
      <top style="thin">
        <color indexed="8"/>
      </top>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dotted">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auto="1"/>
      </left>
      <right style="medium">
        <color auto="1"/>
      </right>
      <top/>
      <bottom/>
      <diagonal/>
    </border>
    <border>
      <left style="thin">
        <color indexed="64"/>
      </left>
      <right style="thin">
        <color indexed="64"/>
      </right>
      <top style="hair">
        <color indexed="64"/>
      </top>
      <bottom/>
      <diagonal/>
    </border>
    <border>
      <left/>
      <right style="thin">
        <color indexed="64"/>
      </right>
      <top style="hair">
        <color indexed="64"/>
      </top>
      <bottom style="hair">
        <color indexed="64"/>
      </bottom>
      <diagonal/>
    </border>
    <border>
      <left/>
      <right style="dashed">
        <color auto="1"/>
      </right>
      <top style="medium">
        <color auto="1"/>
      </top>
      <bottom style="medium">
        <color auto="1"/>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dashed">
        <color auto="1"/>
      </left>
      <right style="medium">
        <color indexed="64"/>
      </right>
      <top style="thin">
        <color auto="1"/>
      </top>
      <bottom style="thin">
        <color auto="1"/>
      </bottom>
      <diagonal/>
    </border>
    <border>
      <left style="dashed">
        <color auto="1"/>
      </left>
      <right style="medium">
        <color indexed="64"/>
      </right>
      <top style="thin">
        <color auto="1"/>
      </top>
      <bottom style="medium">
        <color indexed="64"/>
      </bottom>
      <diagonal/>
    </border>
    <border>
      <left/>
      <right style="thin">
        <color indexed="64"/>
      </right>
      <top/>
      <bottom/>
      <diagonal/>
    </border>
    <border>
      <left/>
      <right style="thin">
        <color indexed="64"/>
      </right>
      <top/>
      <bottom style="medium">
        <color indexed="64"/>
      </bottom>
      <diagonal/>
    </border>
  </borders>
  <cellStyleXfs count="7">
    <xf numFmtId="0" fontId="0" fillId="0" borderId="0"/>
    <xf numFmtId="44" fontId="17" fillId="0" borderId="0" applyFont="0" applyFill="0" applyBorder="0" applyAlignment="0" applyProtection="0"/>
    <xf numFmtId="9" fontId="17" fillId="0" borderId="0" applyFont="0" applyFill="0" applyBorder="0" applyAlignment="0" applyProtection="0"/>
    <xf numFmtId="0" fontId="22" fillId="0" borderId="0"/>
    <xf numFmtId="0" fontId="31" fillId="0" borderId="0"/>
    <xf numFmtId="164" fontId="22" fillId="0" borderId="0" applyFill="0" applyBorder="0" applyAlignment="0" applyProtection="0"/>
    <xf numFmtId="44" fontId="17" fillId="0" borderId="0" applyFont="0" applyFill="0" applyBorder="0" applyAlignment="0" applyProtection="0"/>
  </cellStyleXfs>
  <cellXfs count="281">
    <xf numFmtId="0" fontId="0" fillId="0" borderId="0" xfId="0"/>
    <xf numFmtId="0" fontId="14" fillId="15" borderId="0" xfId="0" applyFont="1" applyFill="1" applyAlignment="1">
      <alignment horizontal="left" vertical="top" wrapText="1"/>
    </xf>
    <xf numFmtId="2" fontId="18" fillId="19" borderId="4" xfId="0" applyNumberFormat="1" applyFont="1" applyFill="1" applyBorder="1" applyAlignment="1">
      <alignment horizontal="left" vertical="center"/>
    </xf>
    <xf numFmtId="165" fontId="0" fillId="0" borderId="6" xfId="0" applyNumberFormat="1" applyFill="1" applyBorder="1" applyAlignment="1">
      <alignment horizontal="center" vertical="center"/>
    </xf>
    <xf numFmtId="0" fontId="18" fillId="19" borderId="4" xfId="0" applyNumberFormat="1" applyFont="1" applyFill="1" applyBorder="1" applyAlignment="1">
      <alignment horizontal="left" vertical="center"/>
    </xf>
    <xf numFmtId="0" fontId="18" fillId="19" borderId="8" xfId="0" applyNumberFormat="1" applyFont="1" applyFill="1" applyBorder="1" applyAlignment="1">
      <alignment horizontal="left" vertical="center"/>
    </xf>
    <xf numFmtId="0" fontId="23" fillId="19" borderId="8" xfId="0" applyNumberFormat="1" applyFont="1" applyFill="1" applyBorder="1" applyAlignment="1">
      <alignment horizontal="left" vertical="center" wrapText="1"/>
    </xf>
    <xf numFmtId="0" fontId="22" fillId="0" borderId="9" xfId="0" applyNumberFormat="1" applyFont="1" applyFill="1" applyBorder="1" applyAlignment="1">
      <alignment vertical="center"/>
    </xf>
    <xf numFmtId="0" fontId="18" fillId="19" borderId="8" xfId="0" applyNumberFormat="1" applyFont="1" applyFill="1" applyBorder="1" applyAlignment="1">
      <alignment horizontal="left" vertical="center" wrapText="1"/>
    </xf>
    <xf numFmtId="2" fontId="18" fillId="19" borderId="8" xfId="0" applyNumberFormat="1" applyFont="1" applyFill="1" applyBorder="1" applyAlignment="1">
      <alignment horizontal="left" vertical="center"/>
    </xf>
    <xf numFmtId="165" fontId="22" fillId="0" borderId="9" xfId="0" applyNumberFormat="1" applyFont="1" applyFill="1" applyBorder="1" applyAlignment="1">
      <alignment horizontal="center" vertical="center" wrapText="1"/>
    </xf>
    <xf numFmtId="0" fontId="24" fillId="19" borderId="13" xfId="0" applyNumberFormat="1" applyFont="1" applyFill="1" applyBorder="1" applyAlignment="1">
      <alignment horizontal="center" vertical="center"/>
    </xf>
    <xf numFmtId="0" fontId="18" fillId="19" borderId="14" xfId="0" applyNumberFormat="1" applyFont="1" applyFill="1" applyBorder="1" applyAlignment="1">
      <alignment horizontal="left" vertical="center" wrapText="1"/>
    </xf>
    <xf numFmtId="0" fontId="0" fillId="0" borderId="15" xfId="0" applyNumberFormat="1" applyFill="1" applyBorder="1" applyAlignment="1">
      <alignment horizontal="center" vertical="center"/>
    </xf>
    <xf numFmtId="0" fontId="18" fillId="0" borderId="18" xfId="0" applyNumberFormat="1" applyFont="1" applyFill="1" applyBorder="1" applyAlignment="1">
      <alignment horizontal="center" vertical="center"/>
    </xf>
    <xf numFmtId="0" fontId="18" fillId="19" borderId="19" xfId="0" applyNumberFormat="1" applyFont="1" applyFill="1" applyBorder="1" applyAlignment="1">
      <alignment horizontal="left" vertical="center" wrapText="1"/>
    </xf>
    <xf numFmtId="0" fontId="0" fillId="0" borderId="20" xfId="0" applyNumberFormat="1" applyFill="1" applyBorder="1" applyAlignment="1">
      <alignment horizontal="center" vertical="center"/>
    </xf>
    <xf numFmtId="0" fontId="4" fillId="5" borderId="23" xfId="0" applyFont="1" applyFill="1" applyBorder="1" applyAlignment="1">
      <alignment horizontal="left" vertical="top" wrapText="1"/>
    </xf>
    <xf numFmtId="0" fontId="5" fillId="6" borderId="23" xfId="0" applyFont="1" applyFill="1" applyBorder="1" applyAlignment="1">
      <alignment horizontal="center" vertical="top" wrapText="1"/>
    </xf>
    <xf numFmtId="0" fontId="6" fillId="7" borderId="23" xfId="0" applyFont="1" applyFill="1" applyBorder="1" applyAlignment="1">
      <alignment horizontal="right" vertical="top" wrapText="1"/>
    </xf>
    <xf numFmtId="4" fontId="7" fillId="8" borderId="23" xfId="0" applyNumberFormat="1" applyFont="1" applyFill="1" applyBorder="1" applyAlignment="1">
      <alignment horizontal="right" vertical="top" wrapText="1"/>
    </xf>
    <xf numFmtId="0" fontId="9" fillId="10" borderId="23" xfId="0" applyFont="1" applyFill="1" applyBorder="1" applyAlignment="1">
      <alignment horizontal="left" vertical="top" wrapText="1"/>
    </xf>
    <xf numFmtId="0" fontId="10" fillId="11" borderId="23" xfId="0" applyFont="1" applyFill="1" applyBorder="1" applyAlignment="1">
      <alignment horizontal="center" vertical="top" wrapText="1"/>
    </xf>
    <xf numFmtId="4" fontId="12" fillId="13" borderId="23" xfId="0" applyNumberFormat="1" applyFont="1" applyFill="1" applyBorder="1" applyAlignment="1">
      <alignment horizontal="right" vertical="top" wrapText="1"/>
    </xf>
    <xf numFmtId="0" fontId="0" fillId="0" borderId="3" xfId="0" applyBorder="1"/>
    <xf numFmtId="0" fontId="14" fillId="15" borderId="24" xfId="0" applyFont="1" applyFill="1" applyBorder="1" applyAlignment="1">
      <alignment horizontal="left" vertical="top" wrapText="1"/>
    </xf>
    <xf numFmtId="0" fontId="0" fillId="0" borderId="1" xfId="0" applyBorder="1"/>
    <xf numFmtId="0" fontId="0" fillId="0" borderId="2" xfId="0" applyBorder="1"/>
    <xf numFmtId="4" fontId="15" fillId="16" borderId="21" xfId="0" applyNumberFormat="1" applyFont="1" applyFill="1" applyBorder="1" applyAlignment="1">
      <alignment horizontal="right" vertical="top" wrapText="1"/>
    </xf>
    <xf numFmtId="0" fontId="14" fillId="15" borderId="0" xfId="0" applyFont="1" applyFill="1" applyBorder="1" applyAlignment="1">
      <alignment horizontal="left" vertical="top" wrapText="1"/>
    </xf>
    <xf numFmtId="164" fontId="16" fillId="17" borderId="13" xfId="0" applyNumberFormat="1" applyFont="1" applyFill="1" applyBorder="1" applyAlignment="1">
      <alignment horizontal="right" vertical="top" wrapText="1"/>
    </xf>
    <xf numFmtId="0" fontId="1" fillId="2" borderId="27" xfId="0" applyFont="1" applyFill="1" applyBorder="1" applyAlignment="1">
      <alignment horizontal="left" vertical="top" wrapText="1"/>
    </xf>
    <xf numFmtId="0" fontId="3" fillId="4" borderId="28" xfId="0" applyFont="1" applyFill="1" applyBorder="1" applyAlignment="1">
      <alignment horizontal="right" vertical="top" wrapText="1"/>
    </xf>
    <xf numFmtId="0" fontId="1" fillId="2" borderId="28" xfId="0" applyFont="1" applyFill="1" applyBorder="1" applyAlignment="1">
      <alignment horizontal="left" vertical="top" wrapText="1"/>
    </xf>
    <xf numFmtId="0" fontId="2" fillId="3" borderId="28" xfId="0" applyFont="1" applyFill="1" applyBorder="1" applyAlignment="1">
      <alignment horizontal="center" vertical="top" wrapText="1"/>
    </xf>
    <xf numFmtId="0" fontId="3" fillId="4" borderId="29" xfId="0" applyFont="1" applyFill="1" applyBorder="1" applyAlignment="1">
      <alignment horizontal="right" vertical="top" wrapText="1"/>
    </xf>
    <xf numFmtId="0" fontId="4" fillId="5" borderId="30" xfId="0" applyFont="1" applyFill="1" applyBorder="1" applyAlignment="1">
      <alignment horizontal="left" vertical="top" wrapText="1"/>
    </xf>
    <xf numFmtId="164" fontId="8" fillId="9" borderId="31" xfId="0" applyNumberFormat="1" applyFont="1" applyFill="1" applyBorder="1" applyAlignment="1">
      <alignment horizontal="right" vertical="top" wrapText="1"/>
    </xf>
    <xf numFmtId="0" fontId="9" fillId="10" borderId="30" xfId="0" applyFont="1" applyFill="1" applyBorder="1" applyAlignment="1">
      <alignment horizontal="left" vertical="top" wrapText="1"/>
    </xf>
    <xf numFmtId="164" fontId="13" fillId="14" borderId="31" xfId="0" applyNumberFormat="1" applyFont="1" applyFill="1" applyBorder="1" applyAlignment="1">
      <alignment horizontal="right" vertical="top" wrapText="1"/>
    </xf>
    <xf numFmtId="0" fontId="9" fillId="10" borderId="32" xfId="0" applyFont="1" applyFill="1" applyBorder="1" applyAlignment="1">
      <alignment horizontal="left" vertical="top" wrapText="1"/>
    </xf>
    <xf numFmtId="0" fontId="9" fillId="10" borderId="33" xfId="0" applyFont="1" applyFill="1" applyBorder="1" applyAlignment="1">
      <alignment horizontal="left" vertical="top" wrapText="1"/>
    </xf>
    <xf numFmtId="0" fontId="10" fillId="11" borderId="33" xfId="0" applyFont="1" applyFill="1" applyBorder="1" applyAlignment="1">
      <alignment horizontal="center" vertical="top" wrapText="1"/>
    </xf>
    <xf numFmtId="4" fontId="12" fillId="13" borderId="33" xfId="0" applyNumberFormat="1" applyFont="1" applyFill="1" applyBorder="1" applyAlignment="1">
      <alignment horizontal="right" vertical="top" wrapText="1"/>
    </xf>
    <xf numFmtId="164" fontId="13" fillId="14" borderId="34" xfId="0" applyNumberFormat="1" applyFont="1" applyFill="1" applyBorder="1" applyAlignment="1">
      <alignment horizontal="right" vertical="top" wrapText="1"/>
    </xf>
    <xf numFmtId="0" fontId="9" fillId="18" borderId="0" xfId="0" applyFont="1" applyFill="1" applyBorder="1" applyAlignment="1">
      <alignment horizontal="left" vertical="top" wrapText="1"/>
    </xf>
    <xf numFmtId="0" fontId="9" fillId="18" borderId="0" xfId="0" applyFont="1" applyFill="1" applyBorder="1" applyAlignment="1">
      <alignment horizontal="center" vertical="top" wrapText="1"/>
    </xf>
    <xf numFmtId="0" fontId="9" fillId="18" borderId="0" xfId="0" applyFont="1" applyFill="1" applyBorder="1" applyAlignment="1">
      <alignment horizontal="center" vertical="center" wrapText="1"/>
    </xf>
    <xf numFmtId="4" fontId="9" fillId="18" borderId="0" xfId="0" applyNumberFormat="1" applyFont="1" applyFill="1" applyBorder="1" applyAlignment="1">
      <alignment horizontal="right" vertical="top" wrapText="1"/>
    </xf>
    <xf numFmtId="164" fontId="9" fillId="18" borderId="24" xfId="0" applyNumberFormat="1" applyFont="1" applyFill="1" applyBorder="1" applyAlignment="1">
      <alignment horizontal="right" vertical="top" wrapText="1"/>
    </xf>
    <xf numFmtId="0" fontId="27" fillId="0" borderId="1" xfId="3" applyNumberFormat="1" applyFont="1" applyBorder="1" applyProtection="1"/>
    <xf numFmtId="0" fontId="27" fillId="0" borderId="0" xfId="3" applyNumberFormat="1" applyFont="1" applyBorder="1" applyProtection="1"/>
    <xf numFmtId="2" fontId="27" fillId="0" borderId="0" xfId="3" applyNumberFormat="1" applyFont="1" applyBorder="1" applyProtection="1"/>
    <xf numFmtId="165" fontId="27" fillId="0" borderId="0" xfId="3" applyNumberFormat="1" applyFont="1" applyBorder="1" applyAlignment="1" applyProtection="1">
      <alignment horizontal="center" vertical="center"/>
    </xf>
    <xf numFmtId="0" fontId="27" fillId="0" borderId="35" xfId="3" applyNumberFormat="1" applyFont="1" applyFill="1" applyBorder="1" applyAlignment="1" applyProtection="1"/>
    <xf numFmtId="0" fontId="27" fillId="0" borderId="0" xfId="3" applyNumberFormat="1" applyFont="1" applyFill="1" applyBorder="1" applyAlignment="1" applyProtection="1"/>
    <xf numFmtId="0" fontId="0" fillId="0" borderId="24" xfId="0" applyBorder="1"/>
    <xf numFmtId="0" fontId="28" fillId="0" borderId="35" xfId="3" applyNumberFormat="1" applyFont="1" applyBorder="1" applyAlignment="1" applyProtection="1">
      <alignment vertical="center"/>
    </xf>
    <xf numFmtId="0" fontId="28" fillId="0" borderId="0" xfId="3" applyNumberFormat="1" applyFont="1" applyBorder="1" applyAlignment="1" applyProtection="1">
      <alignment vertical="center"/>
    </xf>
    <xf numFmtId="0" fontId="28" fillId="0" borderId="0" xfId="3" applyNumberFormat="1" applyFont="1" applyBorder="1" applyAlignment="1" applyProtection="1">
      <alignment horizontal="left"/>
    </xf>
    <xf numFmtId="0" fontId="27" fillId="0" borderId="35" xfId="3" applyNumberFormat="1" applyFont="1" applyBorder="1" applyProtection="1"/>
    <xf numFmtId="0" fontId="28" fillId="0" borderId="22" xfId="3" applyNumberFormat="1" applyFont="1" applyBorder="1" applyAlignment="1" applyProtection="1">
      <alignment vertical="center"/>
    </xf>
    <xf numFmtId="0" fontId="27" fillId="0" borderId="35" xfId="3" applyNumberFormat="1" applyFont="1" applyBorder="1" applyAlignment="1" applyProtection="1">
      <alignment vertical="center"/>
    </xf>
    <xf numFmtId="0" fontId="27" fillId="0" borderId="0" xfId="3" applyNumberFormat="1" applyFont="1" applyBorder="1" applyAlignment="1" applyProtection="1">
      <alignment vertical="center"/>
    </xf>
    <xf numFmtId="0" fontId="27" fillId="0" borderId="0" xfId="3" applyNumberFormat="1" applyFont="1" applyBorder="1" applyAlignment="1" applyProtection="1">
      <alignment horizontal="center" vertical="center"/>
    </xf>
    <xf numFmtId="0" fontId="29" fillId="0" borderId="35" xfId="3" applyNumberFormat="1" applyFont="1" applyBorder="1" applyAlignment="1" applyProtection="1">
      <alignment horizontal="left" vertical="center"/>
    </xf>
    <xf numFmtId="0" fontId="27" fillId="0" borderId="0" xfId="3" applyNumberFormat="1" applyFont="1" applyBorder="1" applyAlignment="1" applyProtection="1">
      <alignment horizontal="left" vertical="center"/>
    </xf>
    <xf numFmtId="0" fontId="29" fillId="0" borderId="0" xfId="3" applyNumberFormat="1" applyFont="1" applyBorder="1" applyAlignment="1" applyProtection="1">
      <alignment horizontal="center" vertical="center"/>
    </xf>
    <xf numFmtId="0" fontId="29" fillId="0" borderId="16" xfId="3" applyNumberFormat="1" applyFont="1" applyBorder="1" applyAlignment="1" applyProtection="1">
      <alignment horizontal="left" vertical="center"/>
    </xf>
    <xf numFmtId="0" fontId="27" fillId="0" borderId="22" xfId="3" applyNumberFormat="1" applyFont="1" applyBorder="1" applyAlignment="1" applyProtection="1">
      <alignment horizontal="left" vertical="center"/>
    </xf>
    <xf numFmtId="2" fontId="27" fillId="0" borderId="22" xfId="3" applyNumberFormat="1" applyFont="1" applyBorder="1" applyProtection="1"/>
    <xf numFmtId="165" fontId="27" fillId="0" borderId="22" xfId="3" applyNumberFormat="1" applyFont="1" applyBorder="1" applyAlignment="1" applyProtection="1">
      <alignment horizontal="center" vertical="center"/>
    </xf>
    <xf numFmtId="0" fontId="27" fillId="0" borderId="22" xfId="3" applyNumberFormat="1" applyFont="1" applyBorder="1" applyProtection="1"/>
    <xf numFmtId="0" fontId="0" fillId="0" borderId="21" xfId="0" applyBorder="1"/>
    <xf numFmtId="0" fontId="4" fillId="21" borderId="30" xfId="0" applyFont="1" applyFill="1" applyBorder="1" applyAlignment="1">
      <alignment horizontal="left" vertical="top" wrapText="1"/>
    </xf>
    <xf numFmtId="0" fontId="4" fillId="21" borderId="23" xfId="0" applyFont="1" applyFill="1" applyBorder="1" applyAlignment="1">
      <alignment horizontal="left" vertical="top" wrapText="1"/>
    </xf>
    <xf numFmtId="0" fontId="5" fillId="21" borderId="23" xfId="0" applyFont="1" applyFill="1" applyBorder="1" applyAlignment="1">
      <alignment horizontal="center" vertical="top" wrapText="1"/>
    </xf>
    <xf numFmtId="0" fontId="6" fillId="21" borderId="23" xfId="0" applyFont="1" applyFill="1" applyBorder="1" applyAlignment="1">
      <alignment horizontal="right" vertical="top" wrapText="1"/>
    </xf>
    <xf numFmtId="4" fontId="7" fillId="21" borderId="23" xfId="0" applyNumberFormat="1" applyFont="1" applyFill="1" applyBorder="1" applyAlignment="1">
      <alignment horizontal="right" vertical="top" wrapText="1"/>
    </xf>
    <xf numFmtId="164" fontId="8" fillId="21" borderId="31" xfId="0" applyNumberFormat="1" applyFont="1" applyFill="1" applyBorder="1" applyAlignment="1">
      <alignment horizontal="right" vertical="top" wrapText="1"/>
    </xf>
    <xf numFmtId="2" fontId="11" fillId="12" borderId="23" xfId="0" applyNumberFormat="1" applyFont="1" applyFill="1" applyBorder="1" applyAlignment="1">
      <alignment horizontal="center" vertical="top" wrapText="1"/>
    </xf>
    <xf numFmtId="0" fontId="11" fillId="12" borderId="23" xfId="0" applyFont="1" applyFill="1" applyBorder="1" applyAlignment="1">
      <alignment horizontal="center" vertical="top" wrapText="1"/>
    </xf>
    <xf numFmtId="0" fontId="11" fillId="12" borderId="33" xfId="0" applyFont="1" applyFill="1" applyBorder="1" applyAlignment="1">
      <alignment horizontal="center" vertical="top" wrapText="1"/>
    </xf>
    <xf numFmtId="0" fontId="30" fillId="22" borderId="0" xfId="0" applyFont="1" applyFill="1" applyBorder="1"/>
    <xf numFmtId="0" fontId="27" fillId="0" borderId="35" xfId="3" applyFont="1" applyBorder="1" applyProtection="1"/>
    <xf numFmtId="0" fontId="27" fillId="0" borderId="0" xfId="3" applyFont="1" applyBorder="1" applyProtection="1"/>
    <xf numFmtId="0" fontId="27" fillId="0" borderId="24" xfId="3" applyFont="1" applyBorder="1" applyProtection="1"/>
    <xf numFmtId="0" fontId="30" fillId="0" borderId="0" xfId="0" applyFont="1"/>
    <xf numFmtId="0" fontId="30" fillId="0" borderId="37" xfId="3" applyFont="1" applyBorder="1" applyAlignment="1" applyProtection="1">
      <alignment horizontal="center" vertical="center"/>
    </xf>
    <xf numFmtId="10" fontId="30" fillId="24" borderId="38" xfId="3" applyNumberFormat="1" applyFont="1" applyFill="1" applyBorder="1" applyAlignment="1" applyProtection="1">
      <alignment horizontal="center" vertical="center"/>
      <protection locked="0"/>
    </xf>
    <xf numFmtId="10" fontId="30" fillId="0" borderId="37" xfId="3" applyNumberFormat="1" applyFont="1" applyFill="1" applyBorder="1" applyAlignment="1" applyProtection="1">
      <alignment horizontal="center" vertical="center"/>
    </xf>
    <xf numFmtId="10" fontId="30" fillId="0" borderId="38" xfId="3" applyNumberFormat="1" applyFont="1" applyFill="1" applyBorder="1" applyAlignment="1" applyProtection="1">
      <alignment horizontal="center" vertical="center"/>
    </xf>
    <xf numFmtId="10" fontId="30" fillId="0" borderId="37" xfId="3" applyNumberFormat="1" applyFont="1" applyFill="1" applyBorder="1" applyAlignment="1" applyProtection="1">
      <alignment horizontal="center" vertical="center" wrapText="1"/>
    </xf>
    <xf numFmtId="0" fontId="30" fillId="0" borderId="37" xfId="3" applyFont="1" applyFill="1" applyBorder="1" applyAlignment="1" applyProtection="1">
      <alignment horizontal="center" vertical="center" wrapText="1"/>
    </xf>
    <xf numFmtId="0" fontId="30" fillId="26" borderId="37" xfId="3" applyFont="1" applyFill="1" applyBorder="1" applyAlignment="1" applyProtection="1">
      <alignment horizontal="center" vertical="center" wrapText="1"/>
    </xf>
    <xf numFmtId="10" fontId="28" fillId="26" borderId="38" xfId="3" applyNumberFormat="1" applyFont="1" applyFill="1" applyBorder="1" applyAlignment="1" applyProtection="1">
      <alignment horizontal="center" vertical="center"/>
    </xf>
    <xf numFmtId="0" fontId="33" fillId="0" borderId="35" xfId="3" applyFont="1" applyBorder="1" applyAlignment="1" applyProtection="1">
      <alignment horizontal="right" vertical="center"/>
    </xf>
    <xf numFmtId="0" fontId="27" fillId="0" borderId="35" xfId="3" applyFont="1" applyBorder="1" applyAlignment="1" applyProtection="1">
      <alignment horizontal="center" vertical="top"/>
    </xf>
    <xf numFmtId="0" fontId="27" fillId="0" borderId="0" xfId="3" applyFont="1" applyBorder="1" applyAlignment="1" applyProtection="1">
      <alignment horizontal="center" vertical="top"/>
    </xf>
    <xf numFmtId="0" fontId="27" fillId="0" borderId="24" xfId="3" applyFont="1" applyBorder="1" applyAlignment="1" applyProtection="1">
      <alignment horizontal="center" vertical="top"/>
    </xf>
    <xf numFmtId="0" fontId="36" fillId="0" borderId="35" xfId="3" applyFont="1" applyBorder="1" applyAlignment="1" applyProtection="1">
      <alignment horizontal="center" vertical="top"/>
    </xf>
    <xf numFmtId="0" fontId="36" fillId="0" borderId="0" xfId="3" applyFont="1" applyBorder="1" applyAlignment="1" applyProtection="1">
      <alignment horizontal="center" vertical="top"/>
    </xf>
    <xf numFmtId="0" fontId="36" fillId="0" borderId="24" xfId="3" applyFont="1" applyBorder="1" applyAlignment="1" applyProtection="1">
      <alignment horizontal="center" vertical="top"/>
    </xf>
    <xf numFmtId="167" fontId="27" fillId="0" borderId="46" xfId="3" applyNumberFormat="1" applyFont="1" applyFill="1" applyBorder="1" applyAlignment="1" applyProtection="1"/>
    <xf numFmtId="0" fontId="28" fillId="0" borderId="35" xfId="3" applyFont="1" applyBorder="1" applyAlignment="1" applyProtection="1">
      <alignment horizontal="left" vertical="center"/>
    </xf>
    <xf numFmtId="0" fontId="28" fillId="0" borderId="0" xfId="3" applyFont="1" applyBorder="1" applyAlignment="1" applyProtection="1">
      <alignment horizontal="left" vertical="center"/>
    </xf>
    <xf numFmtId="169" fontId="27" fillId="0" borderId="0" xfId="3" applyNumberFormat="1" applyFont="1" applyBorder="1" applyAlignment="1" applyProtection="1"/>
    <xf numFmtId="0" fontId="28" fillId="0" borderId="48" xfId="3" applyFont="1" applyBorder="1" applyAlignment="1" applyProtection="1">
      <alignment horizontal="left"/>
    </xf>
    <xf numFmtId="0" fontId="27" fillId="0" borderId="48" xfId="3" applyFont="1" applyBorder="1" applyProtection="1"/>
    <xf numFmtId="0" fontId="27" fillId="0" borderId="49" xfId="3" applyFont="1" applyBorder="1" applyProtection="1"/>
    <xf numFmtId="0" fontId="28" fillId="0" borderId="0" xfId="3" applyFont="1" applyBorder="1" applyAlignment="1" applyProtection="1">
      <alignment horizontal="left"/>
    </xf>
    <xf numFmtId="0" fontId="28" fillId="0" borderId="45" xfId="3" applyFont="1" applyBorder="1" applyAlignment="1" applyProtection="1">
      <alignment vertical="center"/>
    </xf>
    <xf numFmtId="0" fontId="28" fillId="0" borderId="46" xfId="3" applyFont="1" applyBorder="1" applyAlignment="1" applyProtection="1">
      <alignment vertical="center"/>
    </xf>
    <xf numFmtId="0" fontId="30" fillId="0" borderId="0" xfId="3" applyFont="1" applyBorder="1" applyProtection="1"/>
    <xf numFmtId="0" fontId="27" fillId="0" borderId="50" xfId="3" applyFont="1" applyBorder="1" applyAlignment="1" applyProtection="1">
      <alignment vertical="center"/>
    </xf>
    <xf numFmtId="0" fontId="27" fillId="0" borderId="48" xfId="3" applyFont="1" applyBorder="1" applyAlignment="1" applyProtection="1">
      <alignment vertical="center"/>
    </xf>
    <xf numFmtId="0" fontId="29" fillId="0" borderId="35" xfId="3" applyFont="1" applyBorder="1" applyAlignment="1" applyProtection="1">
      <alignment horizontal="left" vertical="center"/>
    </xf>
    <xf numFmtId="0" fontId="27" fillId="0" borderId="0" xfId="3" applyFont="1" applyBorder="1" applyAlignment="1" applyProtection="1">
      <alignment horizontal="left" vertical="center"/>
    </xf>
    <xf numFmtId="0" fontId="0" fillId="0" borderId="16" xfId="0" applyBorder="1"/>
    <xf numFmtId="0" fontId="0" fillId="0" borderId="22" xfId="0" applyBorder="1"/>
    <xf numFmtId="0" fontId="27" fillId="0" borderId="0" xfId="3" applyFont="1" applyBorder="1" applyAlignment="1" applyProtection="1">
      <alignment vertical="center"/>
    </xf>
    <xf numFmtId="0" fontId="29" fillId="0" borderId="0" xfId="3" applyFont="1" applyBorder="1" applyAlignment="1" applyProtection="1">
      <alignment horizontal="left" vertical="center"/>
    </xf>
    <xf numFmtId="0" fontId="27" fillId="0" borderId="25" xfId="3" applyFont="1" applyBorder="1" applyProtection="1"/>
    <xf numFmtId="0" fontId="0" fillId="0" borderId="0" xfId="0"/>
    <xf numFmtId="0" fontId="0" fillId="0" borderId="24" xfId="0" applyBorder="1"/>
    <xf numFmtId="0" fontId="27" fillId="0" borderId="0" xfId="3" applyNumberFormat="1" applyFont="1" applyBorder="1" applyProtection="1"/>
    <xf numFmtId="0" fontId="27" fillId="0" borderId="0" xfId="3" applyNumberFormat="1" applyFont="1" applyFill="1" applyBorder="1" applyAlignment="1" applyProtection="1"/>
    <xf numFmtId="0" fontId="28" fillId="0" borderId="0" xfId="3" applyNumberFormat="1" applyFont="1" applyBorder="1" applyAlignment="1" applyProtection="1">
      <alignment vertical="center"/>
    </xf>
    <xf numFmtId="0" fontId="28" fillId="0" borderId="0" xfId="3" applyNumberFormat="1" applyFont="1" applyBorder="1" applyAlignment="1" applyProtection="1">
      <alignment horizontal="left"/>
    </xf>
    <xf numFmtId="0" fontId="0" fillId="0" borderId="21" xfId="0" applyBorder="1"/>
    <xf numFmtId="49" fontId="38" fillId="27" borderId="52" xfId="0" applyNumberFormat="1" applyFont="1" applyFill="1" applyBorder="1" applyAlignment="1">
      <alignment horizontal="center" vertical="top" wrapText="1"/>
    </xf>
    <xf numFmtId="10" fontId="39" fillId="19" borderId="53" xfId="2" applyNumberFormat="1" applyFont="1" applyFill="1" applyBorder="1"/>
    <xf numFmtId="49" fontId="38" fillId="27" borderId="55" xfId="0" applyNumberFormat="1" applyFont="1" applyFill="1" applyBorder="1" applyAlignment="1">
      <alignment horizontal="center" vertical="top" wrapText="1"/>
    </xf>
    <xf numFmtId="10" fontId="39" fillId="19" borderId="56" xfId="2" applyNumberFormat="1" applyFont="1" applyFill="1" applyBorder="1"/>
    <xf numFmtId="49" fontId="38" fillId="27" borderId="57" xfId="0" applyNumberFormat="1" applyFont="1" applyFill="1" applyBorder="1" applyAlignment="1">
      <alignment horizontal="center" vertical="top" wrapText="1"/>
    </xf>
    <xf numFmtId="49" fontId="41" fillId="27" borderId="58" xfId="0" applyNumberFormat="1" applyFont="1" applyFill="1" applyBorder="1" applyAlignment="1">
      <alignment horizontal="center" vertical="top" wrapText="1"/>
    </xf>
    <xf numFmtId="10" fontId="39" fillId="19" borderId="59" xfId="2" applyNumberFormat="1" applyFont="1" applyFill="1" applyBorder="1"/>
    <xf numFmtId="49" fontId="41" fillId="27" borderId="60" xfId="0" applyNumberFormat="1" applyFont="1" applyFill="1" applyBorder="1" applyAlignment="1">
      <alignment horizontal="center" vertical="top" wrapText="1"/>
    </xf>
    <xf numFmtId="49" fontId="41" fillId="27" borderId="61" xfId="0" applyNumberFormat="1" applyFont="1" applyFill="1" applyBorder="1" applyAlignment="1">
      <alignment horizontal="center" vertical="top" wrapText="1"/>
    </xf>
    <xf numFmtId="49" fontId="41" fillId="27" borderId="62" xfId="0" applyNumberFormat="1" applyFont="1" applyFill="1" applyBorder="1" applyAlignment="1">
      <alignment horizontal="center" vertical="top" wrapText="1"/>
    </xf>
    <xf numFmtId="0" fontId="0" fillId="27" borderId="0" xfId="0" applyFill="1" applyBorder="1" applyAlignment="1">
      <alignment vertical="center"/>
    </xf>
    <xf numFmtId="0" fontId="0" fillId="27" borderId="0" xfId="0" applyFill="1" applyBorder="1" applyAlignment="1">
      <alignment vertical="center" wrapText="1"/>
    </xf>
    <xf numFmtId="0" fontId="0" fillId="0" borderId="0" xfId="0" applyBorder="1"/>
    <xf numFmtId="0" fontId="18" fillId="19" borderId="11" xfId="0" applyNumberFormat="1" applyFont="1" applyFill="1" applyBorder="1" applyAlignment="1">
      <alignment horizontal="left" vertical="center"/>
    </xf>
    <xf numFmtId="44" fontId="42" fillId="0" borderId="11" xfId="0" applyNumberFormat="1" applyFont="1" applyFill="1" applyBorder="1" applyAlignment="1">
      <alignment horizontal="center" vertical="center"/>
    </xf>
    <xf numFmtId="0" fontId="22" fillId="0" borderId="10" xfId="0" applyNumberFormat="1" applyFont="1" applyFill="1" applyBorder="1" applyAlignment="1">
      <alignment horizontal="center" vertical="center"/>
    </xf>
    <xf numFmtId="0" fontId="42" fillId="0" borderId="11" xfId="0" applyNumberFormat="1" applyFont="1" applyFill="1" applyBorder="1" applyAlignment="1">
      <alignment horizontal="center" vertical="center" wrapText="1"/>
    </xf>
    <xf numFmtId="0" fontId="22" fillId="0" borderId="10" xfId="0" applyNumberFormat="1" applyFont="1" applyFill="1" applyBorder="1" applyAlignment="1">
      <alignment horizontal="center" vertical="center" wrapText="1"/>
    </xf>
    <xf numFmtId="0" fontId="37" fillId="27" borderId="11" xfId="0" applyFont="1" applyFill="1" applyBorder="1" applyAlignment="1">
      <alignment horizontal="center" vertical="center"/>
    </xf>
    <xf numFmtId="0" fontId="37" fillId="27" borderId="9" xfId="0" applyFont="1" applyFill="1" applyBorder="1" applyAlignment="1">
      <alignment horizontal="center" vertical="center"/>
    </xf>
    <xf numFmtId="0" fontId="37" fillId="27" borderId="11" xfId="0" applyFont="1" applyFill="1" applyBorder="1" applyAlignment="1">
      <alignment horizontal="center" vertical="center" wrapText="1"/>
    </xf>
    <xf numFmtId="0" fontId="37" fillId="0" borderId="11" xfId="0" applyFont="1" applyFill="1" applyBorder="1" applyAlignment="1">
      <alignment horizontal="center" vertical="center"/>
    </xf>
    <xf numFmtId="0" fontId="37" fillId="0" borderId="9" xfId="0" applyFont="1" applyFill="1" applyBorder="1" applyAlignment="1">
      <alignment horizontal="center" vertical="center"/>
    </xf>
    <xf numFmtId="0" fontId="37" fillId="22" borderId="11" xfId="0" applyFont="1" applyFill="1" applyBorder="1" applyAlignment="1">
      <alignment horizontal="center" vertical="center"/>
    </xf>
    <xf numFmtId="0" fontId="37" fillId="22" borderId="10" xfId="0" applyFont="1" applyFill="1" applyBorder="1" applyAlignment="1">
      <alignment horizontal="center" vertical="center"/>
    </xf>
    <xf numFmtId="0" fontId="37" fillId="22" borderId="9" xfId="0" applyFont="1" applyFill="1" applyBorder="1" applyAlignment="1">
      <alignment horizontal="center" vertical="center"/>
    </xf>
    <xf numFmtId="0" fontId="37" fillId="27" borderId="10" xfId="0" applyFont="1" applyFill="1" applyBorder="1" applyAlignment="1">
      <alignment horizontal="center" vertical="center"/>
    </xf>
    <xf numFmtId="10" fontId="39" fillId="19" borderId="26" xfId="2" applyNumberFormat="1" applyFont="1" applyFill="1" applyBorder="1"/>
    <xf numFmtId="170" fontId="39" fillId="0" borderId="23" xfId="1" applyNumberFormat="1" applyFont="1" applyBorder="1"/>
    <xf numFmtId="170" fontId="39" fillId="0" borderId="53" xfId="1" applyNumberFormat="1" applyFont="1" applyBorder="1"/>
    <xf numFmtId="170" fontId="39" fillId="0" borderId="56" xfId="1" applyNumberFormat="1" applyFont="1" applyBorder="1" applyAlignment="1">
      <alignment vertical="center"/>
    </xf>
    <xf numFmtId="10" fontId="39" fillId="19" borderId="23" xfId="2" applyNumberFormat="1" applyFont="1" applyFill="1" applyBorder="1"/>
    <xf numFmtId="10" fontId="39" fillId="19" borderId="63" xfId="2" applyNumberFormat="1" applyFont="1" applyFill="1" applyBorder="1"/>
    <xf numFmtId="10" fontId="39" fillId="19" borderId="21" xfId="2" applyNumberFormat="1" applyFont="1" applyFill="1" applyBorder="1"/>
    <xf numFmtId="170" fontId="39" fillId="0" borderId="63" xfId="1" applyNumberFormat="1" applyFont="1" applyBorder="1"/>
    <xf numFmtId="170" fontId="39" fillId="0" borderId="64" xfId="1" applyNumberFormat="1" applyFont="1" applyBorder="1" applyAlignment="1">
      <alignment vertical="center"/>
    </xf>
    <xf numFmtId="10" fontId="39" fillId="19" borderId="10" xfId="2" applyNumberFormat="1" applyFont="1" applyFill="1" applyBorder="1"/>
    <xf numFmtId="0" fontId="0" fillId="27" borderId="35" xfId="0" applyFill="1" applyBorder="1" applyAlignment="1">
      <alignment vertical="center"/>
    </xf>
    <xf numFmtId="0" fontId="0" fillId="27" borderId="24" xfId="0" applyFill="1" applyBorder="1" applyAlignment="1">
      <alignment vertical="center"/>
    </xf>
    <xf numFmtId="0" fontId="0" fillId="0" borderId="35" xfId="0" applyBorder="1"/>
    <xf numFmtId="0" fontId="0" fillId="0" borderId="0" xfId="0" applyBorder="1" applyAlignment="1"/>
    <xf numFmtId="14" fontId="27" fillId="0" borderId="0" xfId="3" applyNumberFormat="1" applyFont="1" applyFill="1" applyBorder="1" applyAlignment="1" applyProtection="1">
      <alignment horizontal="left"/>
    </xf>
    <xf numFmtId="10" fontId="22" fillId="0" borderId="3" xfId="2" applyNumberFormat="1" applyFont="1" applyFill="1" applyBorder="1" applyAlignment="1">
      <alignment horizontal="center" vertical="center"/>
    </xf>
    <xf numFmtId="0" fontId="22" fillId="0" borderId="21" xfId="2" applyNumberFormat="1" applyFont="1" applyFill="1" applyBorder="1" applyAlignment="1">
      <alignment horizontal="center" vertical="center"/>
    </xf>
    <xf numFmtId="0" fontId="18" fillId="19" borderId="1" xfId="0" applyNumberFormat="1" applyFont="1" applyFill="1" applyBorder="1" applyAlignment="1">
      <alignment horizontal="left" vertical="center"/>
    </xf>
    <xf numFmtId="0" fontId="18" fillId="19" borderId="16" xfId="0" applyNumberFormat="1" applyFont="1" applyFill="1" applyBorder="1" applyAlignment="1">
      <alignment horizontal="left" vertical="center"/>
    </xf>
    <xf numFmtId="0" fontId="0" fillId="19" borderId="2" xfId="2" applyNumberFormat="1" applyFont="1" applyFill="1" applyBorder="1" applyAlignment="1">
      <alignment horizontal="center" vertical="center"/>
    </xf>
    <xf numFmtId="0" fontId="0" fillId="19" borderId="3" xfId="2" applyNumberFormat="1" applyFont="1" applyFill="1" applyBorder="1" applyAlignment="1">
      <alignment horizontal="center" vertical="center"/>
    </xf>
    <xf numFmtId="0" fontId="0" fillId="19" borderId="22" xfId="2" applyNumberFormat="1" applyFont="1" applyFill="1" applyBorder="1" applyAlignment="1">
      <alignment horizontal="center" vertical="center"/>
    </xf>
    <xf numFmtId="0" fontId="0" fillId="19" borderId="21" xfId="2" applyNumberFormat="1" applyFont="1" applyFill="1" applyBorder="1" applyAlignment="1">
      <alignment horizontal="center" vertical="center"/>
    </xf>
    <xf numFmtId="0" fontId="25" fillId="19" borderId="11" xfId="0" applyNumberFormat="1" applyFont="1" applyFill="1" applyBorder="1" applyAlignment="1">
      <alignment horizontal="right"/>
    </xf>
    <xf numFmtId="165" fontId="26" fillId="20" borderId="11" xfId="0" applyNumberFormat="1" applyFont="1" applyFill="1" applyBorder="1" applyAlignment="1">
      <alignment horizontal="center"/>
    </xf>
    <xf numFmtId="0" fontId="14" fillId="15" borderId="16" xfId="0" applyFont="1" applyFill="1" applyBorder="1" applyAlignment="1">
      <alignment horizontal="left" vertical="top" wrapText="1"/>
    </xf>
    <xf numFmtId="0" fontId="14" fillId="15" borderId="22" xfId="0" applyFont="1" applyFill="1" applyBorder="1" applyAlignment="1">
      <alignment horizontal="left" vertical="top" wrapText="1"/>
    </xf>
    <xf numFmtId="0" fontId="14" fillId="15" borderId="1" xfId="0" applyFont="1" applyFill="1" applyBorder="1" applyAlignment="1">
      <alignment horizontal="left" vertical="top" wrapText="1"/>
    </xf>
    <xf numFmtId="0" fontId="14" fillId="15" borderId="3" xfId="0" applyFont="1" applyFill="1" applyBorder="1" applyAlignment="1">
      <alignment horizontal="left" vertical="top" wrapText="1"/>
    </xf>
    <xf numFmtId="0" fontId="19" fillId="0" borderId="1" xfId="0" applyNumberFormat="1" applyFont="1" applyBorder="1" applyAlignment="1">
      <alignment horizontal="center" vertical="center" wrapText="1"/>
    </xf>
    <xf numFmtId="0" fontId="19" fillId="0" borderId="2" xfId="0" applyNumberFormat="1" applyFont="1" applyBorder="1" applyAlignment="1">
      <alignment horizontal="center" vertical="center" wrapText="1"/>
    </xf>
    <xf numFmtId="0" fontId="19" fillId="0" borderId="3" xfId="0" applyNumberFormat="1" applyFont="1" applyBorder="1" applyAlignment="1">
      <alignment horizontal="center" vertical="center" wrapText="1"/>
    </xf>
    <xf numFmtId="0" fontId="21" fillId="19" borderId="4" xfId="0" applyNumberFormat="1" applyFont="1" applyFill="1" applyBorder="1" applyAlignment="1">
      <alignment horizontal="center" vertical="center"/>
    </xf>
    <xf numFmtId="0" fontId="21" fillId="19" borderId="5" xfId="0" applyNumberFormat="1" applyFont="1" applyFill="1" applyBorder="1" applyAlignment="1">
      <alignment horizontal="center" vertical="center"/>
    </xf>
    <xf numFmtId="0" fontId="21" fillId="19" borderId="6" xfId="0" applyNumberFormat="1" applyFont="1" applyFill="1" applyBorder="1" applyAlignment="1">
      <alignment horizontal="center" vertical="center"/>
    </xf>
    <xf numFmtId="0" fontId="0" fillId="0" borderId="7" xfId="0" applyNumberFormat="1" applyFill="1" applyBorder="1" applyAlignment="1">
      <alignment horizontal="center" vertical="center"/>
    </xf>
    <xf numFmtId="0" fontId="22" fillId="0" borderId="9" xfId="0" applyNumberFormat="1" applyFont="1" applyFill="1" applyBorder="1" applyAlignment="1">
      <alignment horizontal="left" vertical="center"/>
    </xf>
    <xf numFmtId="0" fontId="0" fillId="0" borderId="9" xfId="0" applyNumberFormat="1" applyFill="1" applyBorder="1" applyAlignment="1">
      <alignment horizontal="left" vertical="center"/>
    </xf>
    <xf numFmtId="0" fontId="0" fillId="0" borderId="10" xfId="0" applyNumberFormat="1" applyFill="1" applyBorder="1" applyAlignment="1">
      <alignment horizontal="left" vertical="center"/>
    </xf>
    <xf numFmtId="14" fontId="0" fillId="0" borderId="11" xfId="0" applyNumberFormat="1" applyFill="1" applyBorder="1" applyAlignment="1">
      <alignment horizontal="center" vertical="center"/>
    </xf>
    <xf numFmtId="0" fontId="0" fillId="0" borderId="11" xfId="0" applyNumberFormat="1" applyFill="1" applyBorder="1" applyAlignment="1">
      <alignment horizontal="center" vertical="center"/>
    </xf>
    <xf numFmtId="0" fontId="22" fillId="0" borderId="9" xfId="0" applyNumberFormat="1" applyFont="1" applyFill="1" applyBorder="1" applyAlignment="1">
      <alignment horizontal="left" vertical="center" wrapText="1"/>
    </xf>
    <xf numFmtId="0" fontId="22" fillId="0" borderId="10" xfId="0" applyNumberFormat="1" applyFont="1" applyFill="1" applyBorder="1" applyAlignment="1">
      <alignment horizontal="left" vertical="center" wrapText="1"/>
    </xf>
    <xf numFmtId="0" fontId="0" fillId="0" borderId="9" xfId="0" applyNumberFormat="1" applyFill="1" applyBorder="1" applyAlignment="1">
      <alignment horizontal="center" vertical="center"/>
    </xf>
    <xf numFmtId="0" fontId="0" fillId="0" borderId="10" xfId="0" applyNumberFormat="1" applyFill="1" applyBorder="1" applyAlignment="1">
      <alignment horizontal="center" vertical="center"/>
    </xf>
    <xf numFmtId="0" fontId="22" fillId="0" borderId="11" xfId="0" applyNumberFormat="1" applyFont="1" applyFill="1" applyBorder="1" applyAlignment="1">
      <alignment horizontal="center" vertical="center"/>
    </xf>
    <xf numFmtId="0" fontId="18" fillId="19" borderId="1" xfId="0" applyNumberFormat="1" applyFont="1" applyFill="1" applyBorder="1" applyAlignment="1">
      <alignment horizontal="center" vertical="center" wrapText="1"/>
    </xf>
    <xf numFmtId="0" fontId="18" fillId="19" borderId="16" xfId="0" applyNumberFormat="1" applyFont="1" applyFill="1" applyBorder="1" applyAlignment="1">
      <alignment horizontal="center" vertical="center" wrapText="1"/>
    </xf>
    <xf numFmtId="0" fontId="18" fillId="0" borderId="12" xfId="0" applyNumberFormat="1" applyFont="1" applyFill="1" applyBorder="1" applyAlignment="1">
      <alignment horizontal="center" vertical="center" wrapText="1"/>
    </xf>
    <xf numFmtId="0" fontId="18" fillId="0" borderId="17" xfId="0" applyNumberFormat="1" applyFont="1" applyFill="1" applyBorder="1" applyAlignment="1">
      <alignment horizontal="center" vertical="center" wrapText="1"/>
    </xf>
    <xf numFmtId="2" fontId="18" fillId="19" borderId="1" xfId="0" applyNumberFormat="1" applyFont="1" applyFill="1" applyBorder="1" applyAlignment="1">
      <alignment horizontal="left" vertical="center"/>
    </xf>
    <xf numFmtId="2" fontId="18" fillId="19" borderId="16" xfId="0" applyNumberFormat="1" applyFont="1" applyFill="1" applyBorder="1" applyAlignment="1">
      <alignment horizontal="left" vertical="center"/>
    </xf>
    <xf numFmtId="0" fontId="30" fillId="0" borderId="36" xfId="3" applyFont="1" applyBorder="1" applyAlignment="1" applyProtection="1">
      <alignment horizontal="left" vertical="center" wrapText="1"/>
    </xf>
    <xf numFmtId="0" fontId="30" fillId="0" borderId="37" xfId="3" applyFont="1" applyBorder="1" applyAlignment="1" applyProtection="1">
      <alignment horizontal="left" vertical="center" wrapText="1"/>
    </xf>
    <xf numFmtId="0" fontId="30" fillId="0" borderId="38" xfId="3" applyFont="1" applyBorder="1" applyAlignment="1" applyProtection="1">
      <alignment horizontal="left" vertical="center" wrapText="1"/>
    </xf>
    <xf numFmtId="49" fontId="27" fillId="24" borderId="36" xfId="3" applyNumberFormat="1" applyFont="1" applyFill="1" applyBorder="1" applyAlignment="1" applyProtection="1">
      <alignment horizontal="left" vertical="top" wrapText="1"/>
      <protection locked="0"/>
    </xf>
    <xf numFmtId="49" fontId="27" fillId="24" borderId="37" xfId="3" applyNumberFormat="1" applyFont="1" applyFill="1" applyBorder="1" applyAlignment="1" applyProtection="1">
      <alignment horizontal="left" vertical="top" wrapText="1"/>
      <protection locked="0"/>
    </xf>
    <xf numFmtId="49" fontId="27" fillId="24" borderId="38" xfId="3" applyNumberFormat="1" applyFont="1" applyFill="1" applyBorder="1" applyAlignment="1" applyProtection="1">
      <alignment horizontal="left" vertical="top" wrapText="1"/>
      <protection locked="0"/>
    </xf>
    <xf numFmtId="167" fontId="27" fillId="0" borderId="45" xfId="3" applyNumberFormat="1" applyFont="1" applyFill="1" applyBorder="1" applyAlignment="1" applyProtection="1">
      <alignment horizontal="left"/>
    </xf>
    <xf numFmtId="167" fontId="27" fillId="0" borderId="46" xfId="3" applyNumberFormat="1" applyFont="1" applyFill="1" applyBorder="1" applyAlignment="1" applyProtection="1">
      <alignment horizontal="left"/>
    </xf>
    <xf numFmtId="168" fontId="27" fillId="0" borderId="46" xfId="3" applyNumberFormat="1" applyFont="1" applyFill="1" applyBorder="1" applyAlignment="1" applyProtection="1">
      <alignment horizontal="left"/>
    </xf>
    <xf numFmtId="168" fontId="27" fillId="0" borderId="47" xfId="3" applyNumberFormat="1" applyFont="1" applyFill="1" applyBorder="1" applyAlignment="1" applyProtection="1">
      <alignment horizontal="left"/>
    </xf>
    <xf numFmtId="0" fontId="27" fillId="0" borderId="36" xfId="3" applyFont="1" applyBorder="1" applyAlignment="1" applyProtection="1">
      <alignment horizontal="center" vertical="center" wrapText="1"/>
    </xf>
    <xf numFmtId="0" fontId="27" fillId="0" borderId="37" xfId="3" applyFont="1" applyBorder="1" applyAlignment="1" applyProtection="1">
      <alignment horizontal="center" vertical="center" wrapText="1"/>
    </xf>
    <xf numFmtId="4" fontId="28" fillId="0" borderId="37" xfId="3" applyNumberFormat="1" applyFont="1" applyFill="1" applyBorder="1" applyAlignment="1" applyProtection="1">
      <alignment horizontal="center" vertical="center" wrapText="1"/>
    </xf>
    <xf numFmtId="0" fontId="30" fillId="26" borderId="36" xfId="3" applyFont="1" applyFill="1" applyBorder="1" applyAlignment="1" applyProtection="1">
      <alignment horizontal="center" vertical="center" wrapText="1"/>
    </xf>
    <xf numFmtId="0" fontId="30" fillId="26" borderId="37" xfId="3" applyFont="1" applyFill="1" applyBorder="1" applyAlignment="1" applyProtection="1">
      <alignment horizontal="center" vertical="center" wrapText="1"/>
    </xf>
    <xf numFmtId="0" fontId="32" fillId="0" borderId="0" xfId="3" applyFont="1" applyBorder="1" applyAlignment="1" applyProtection="1">
      <alignment horizontal="left" vertical="center" indent="1"/>
    </xf>
    <xf numFmtId="0" fontId="32" fillId="0" borderId="24" xfId="3" applyFont="1" applyBorder="1" applyAlignment="1" applyProtection="1">
      <alignment horizontal="left" vertical="center" indent="1"/>
    </xf>
    <xf numFmtId="0" fontId="27" fillId="0" borderId="35" xfId="3" applyFont="1" applyBorder="1" applyAlignment="1" applyProtection="1">
      <alignment horizontal="center" vertical="center"/>
    </xf>
    <xf numFmtId="0" fontId="27" fillId="0" borderId="0" xfId="3" applyFont="1" applyBorder="1" applyAlignment="1" applyProtection="1">
      <alignment horizontal="center" vertical="center"/>
    </xf>
    <xf numFmtId="0" fontId="27" fillId="0" borderId="24" xfId="3" applyFont="1" applyBorder="1" applyAlignment="1" applyProtection="1">
      <alignment horizontal="center" vertical="center"/>
    </xf>
    <xf numFmtId="0" fontId="34" fillId="0" borderId="0" xfId="0" applyFont="1" applyBorder="1" applyAlignment="1" applyProtection="1">
      <alignment horizontal="right" vertical="center"/>
    </xf>
    <xf numFmtId="0" fontId="35" fillId="0" borderId="0" xfId="0" applyFont="1" applyBorder="1" applyAlignment="1" applyProtection="1">
      <alignment horizontal="center"/>
    </xf>
    <xf numFmtId="0" fontId="34" fillId="0" borderId="0" xfId="0" applyFont="1" applyBorder="1" applyAlignment="1" applyProtection="1">
      <alignment horizontal="left" vertical="center"/>
    </xf>
    <xf numFmtId="0" fontId="34" fillId="0" borderId="0" xfId="0" applyFont="1" applyBorder="1" applyAlignment="1" applyProtection="1">
      <alignment horizontal="center" vertical="top"/>
    </xf>
    <xf numFmtId="4" fontId="28" fillId="0" borderId="37" xfId="3" applyNumberFormat="1" applyFont="1" applyFill="1" applyBorder="1" applyAlignment="1" applyProtection="1">
      <alignment horizontal="center" vertical="center"/>
    </xf>
    <xf numFmtId="0" fontId="28" fillId="0" borderId="37" xfId="3" applyFont="1" applyFill="1" applyBorder="1" applyAlignment="1" applyProtection="1">
      <alignment horizontal="center" vertical="center"/>
    </xf>
    <xf numFmtId="0" fontId="28" fillId="0" borderId="39" xfId="4" applyFont="1" applyBorder="1" applyAlignment="1" applyProtection="1">
      <alignment horizontal="left" vertical="top"/>
    </xf>
    <xf numFmtId="0" fontId="28" fillId="0" borderId="40" xfId="4" applyFont="1" applyBorder="1" applyAlignment="1" applyProtection="1">
      <alignment horizontal="left" vertical="top"/>
    </xf>
    <xf numFmtId="0" fontId="28" fillId="0" borderId="41" xfId="4" applyFont="1" applyBorder="1" applyAlignment="1" applyProtection="1">
      <alignment horizontal="left" vertical="top"/>
    </xf>
    <xf numFmtId="166" fontId="30" fillId="25" borderId="42" xfId="5" applyNumberFormat="1" applyFont="1" applyFill="1" applyBorder="1" applyAlignment="1" applyProtection="1">
      <alignment horizontal="left"/>
      <protection locked="0"/>
    </xf>
    <xf numFmtId="166" fontId="30" fillId="25" borderId="43" xfId="5" applyNumberFormat="1" applyFont="1" applyFill="1" applyBorder="1" applyAlignment="1" applyProtection="1">
      <alignment horizontal="left"/>
      <protection locked="0"/>
    </xf>
    <xf numFmtId="166" fontId="30" fillId="25" borderId="44" xfId="5" applyNumberFormat="1" applyFont="1" applyFill="1" applyBorder="1" applyAlignment="1" applyProtection="1">
      <alignment horizontal="left"/>
      <protection locked="0"/>
    </xf>
    <xf numFmtId="0" fontId="28" fillId="0" borderId="36" xfId="3" applyFont="1" applyBorder="1" applyAlignment="1" applyProtection="1">
      <alignment horizontal="center" vertical="center"/>
    </xf>
    <xf numFmtId="0" fontId="28" fillId="0" borderId="37" xfId="3" applyFont="1" applyBorder="1" applyAlignment="1" applyProtection="1">
      <alignment horizontal="center" vertical="center"/>
    </xf>
    <xf numFmtId="4" fontId="28" fillId="0" borderId="38" xfId="3" applyNumberFormat="1" applyFont="1" applyFill="1" applyBorder="1" applyAlignment="1" applyProtection="1">
      <alignment horizontal="center" vertical="center" wrapText="1"/>
    </xf>
    <xf numFmtId="0" fontId="19" fillId="0" borderId="8"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23" borderId="1" xfId="0" applyFont="1" applyFill="1" applyBorder="1" applyAlignment="1">
      <alignment horizontal="center" vertical="center" wrapText="1"/>
    </xf>
    <xf numFmtId="0" fontId="19" fillId="23" borderId="2" xfId="0" applyFont="1" applyFill="1" applyBorder="1" applyAlignment="1">
      <alignment horizontal="center" vertical="center" wrapText="1"/>
    </xf>
    <xf numFmtId="0" fontId="19" fillId="23" borderId="3" xfId="0" applyFont="1" applyFill="1" applyBorder="1" applyAlignment="1">
      <alignment horizontal="center" vertical="center" wrapText="1"/>
    </xf>
    <xf numFmtId="0" fontId="19" fillId="23" borderId="35" xfId="0" applyFont="1" applyFill="1" applyBorder="1" applyAlignment="1">
      <alignment horizontal="center" vertical="center" wrapText="1"/>
    </xf>
    <xf numFmtId="0" fontId="19" fillId="23" borderId="0" xfId="0" applyFont="1" applyFill="1" applyBorder="1" applyAlignment="1">
      <alignment horizontal="center" vertical="center" wrapText="1"/>
    </xf>
    <xf numFmtId="0" fontId="19" fillId="23" borderId="24" xfId="0" applyFont="1" applyFill="1" applyBorder="1" applyAlignment="1">
      <alignment horizontal="center" vertical="center" wrapText="1"/>
    </xf>
    <xf numFmtId="0" fontId="30" fillId="0" borderId="36" xfId="3" applyFont="1" applyFill="1" applyBorder="1" applyAlignment="1" applyProtection="1">
      <alignment horizontal="left" wrapText="1"/>
    </xf>
    <xf numFmtId="0" fontId="30" fillId="0" borderId="37" xfId="3" applyFont="1" applyFill="1" applyBorder="1" applyAlignment="1" applyProtection="1">
      <alignment horizontal="left" wrapText="1"/>
    </xf>
    <xf numFmtId="10" fontId="30" fillId="24" borderId="37" xfId="3" applyNumberFormat="1" applyFont="1" applyFill="1" applyBorder="1" applyAlignment="1" applyProtection="1">
      <alignment horizontal="center"/>
      <protection locked="0"/>
    </xf>
    <xf numFmtId="10" fontId="30" fillId="24" borderId="38" xfId="3" applyNumberFormat="1" applyFont="1" applyFill="1" applyBorder="1" applyAlignment="1" applyProtection="1">
      <alignment horizontal="center"/>
      <protection locked="0"/>
    </xf>
    <xf numFmtId="0" fontId="30" fillId="0" borderId="36" xfId="3" applyFont="1" applyFill="1" applyBorder="1" applyAlignment="1" applyProtection="1">
      <alignment horizontal="left"/>
    </xf>
    <xf numFmtId="0" fontId="30" fillId="0" borderId="37" xfId="3" applyFont="1" applyFill="1" applyBorder="1" applyAlignment="1" applyProtection="1">
      <alignment horizontal="left"/>
    </xf>
    <xf numFmtId="0" fontId="29" fillId="0" borderId="0" xfId="3" applyNumberFormat="1" applyFont="1" applyBorder="1" applyAlignment="1" applyProtection="1">
      <alignment horizontal="center" vertical="center"/>
    </xf>
    <xf numFmtId="0" fontId="28" fillId="0" borderId="22" xfId="3" applyNumberFormat="1" applyFont="1" applyBorder="1" applyAlignment="1" applyProtection="1">
      <alignment horizontal="center" vertical="center"/>
    </xf>
    <xf numFmtId="0" fontId="27" fillId="0" borderId="0" xfId="3" applyNumberFormat="1" applyFont="1" applyBorder="1" applyAlignment="1" applyProtection="1">
      <alignment horizontal="center" vertical="center"/>
    </xf>
    <xf numFmtId="0" fontId="27" fillId="0" borderId="2" xfId="3" applyNumberFormat="1" applyFont="1" applyBorder="1" applyAlignment="1" applyProtection="1">
      <alignment horizontal="center" vertical="center"/>
    </xf>
    <xf numFmtId="49" fontId="40" fillId="27" borderId="30" xfId="0" applyNumberFormat="1" applyFont="1" applyFill="1" applyBorder="1" applyAlignment="1">
      <alignment horizontal="center" vertical="center" wrapText="1"/>
    </xf>
    <xf numFmtId="49" fontId="40" fillId="27" borderId="23" xfId="0" applyNumberFormat="1" applyFont="1" applyFill="1" applyBorder="1" applyAlignment="1">
      <alignment horizontal="center" vertical="center" wrapText="1"/>
    </xf>
    <xf numFmtId="0" fontId="37" fillId="27" borderId="35" xfId="0" applyFont="1" applyFill="1" applyBorder="1" applyAlignment="1">
      <alignment horizontal="center" vertical="center" wrapText="1"/>
    </xf>
    <xf numFmtId="0" fontId="37" fillId="27" borderId="65" xfId="0" applyFont="1" applyFill="1" applyBorder="1" applyAlignment="1">
      <alignment horizontal="center" vertical="center" wrapText="1"/>
    </xf>
    <xf numFmtId="0" fontId="37" fillId="27" borderId="16" xfId="0" applyFont="1" applyFill="1" applyBorder="1" applyAlignment="1">
      <alignment horizontal="center" vertical="center" wrapText="1"/>
    </xf>
    <xf numFmtId="0" fontId="37" fillId="27" borderId="66" xfId="0" applyFont="1" applyFill="1" applyBorder="1" applyAlignment="1">
      <alignment horizontal="center" vertical="center" wrapText="1"/>
    </xf>
    <xf numFmtId="2" fontId="0" fillId="27" borderId="54" xfId="0" applyNumberFormat="1" applyFill="1" applyBorder="1" applyAlignment="1">
      <alignment horizontal="center" vertical="top" wrapText="1"/>
    </xf>
    <xf numFmtId="0" fontId="0" fillId="27" borderId="54" xfId="0" applyFill="1" applyBorder="1" applyAlignment="1">
      <alignment horizontal="center" vertical="top" wrapText="1"/>
    </xf>
    <xf numFmtId="2" fontId="22" fillId="27" borderId="55" xfId="0" applyNumberFormat="1" applyFont="1" applyFill="1" applyBorder="1" applyAlignment="1">
      <alignment vertical="center" wrapText="1"/>
    </xf>
    <xf numFmtId="0" fontId="0" fillId="27" borderId="55" xfId="0" applyFill="1" applyBorder="1" applyAlignment="1">
      <alignment vertical="center" wrapText="1"/>
    </xf>
    <xf numFmtId="0" fontId="22" fillId="0" borderId="11" xfId="0" applyNumberFormat="1" applyFont="1" applyFill="1" applyBorder="1" applyAlignment="1">
      <alignment horizontal="left" vertical="center" wrapText="1"/>
    </xf>
    <xf numFmtId="0" fontId="23" fillId="19" borderId="11" xfId="0" applyNumberFormat="1" applyFont="1" applyFill="1" applyBorder="1" applyAlignment="1">
      <alignment horizontal="left" vertical="center" wrapText="1"/>
    </xf>
    <xf numFmtId="0" fontId="0" fillId="27" borderId="51" xfId="0" applyFill="1" applyBorder="1" applyAlignment="1">
      <alignment horizontal="center" vertical="top" wrapText="1"/>
    </xf>
    <xf numFmtId="0" fontId="22" fillId="27" borderId="52" xfId="0" applyFont="1" applyFill="1" applyBorder="1" applyAlignment="1">
      <alignment vertical="center" wrapText="1"/>
    </xf>
    <xf numFmtId="0" fontId="19" fillId="0" borderId="11" xfId="0" applyNumberFormat="1" applyFont="1" applyBorder="1" applyAlignment="1">
      <alignment horizontal="center" vertical="center" wrapText="1"/>
    </xf>
    <xf numFmtId="0" fontId="21" fillId="19" borderId="11" xfId="0" applyNumberFormat="1" applyFont="1" applyFill="1" applyBorder="1" applyAlignment="1">
      <alignment horizontal="center" vertical="center"/>
    </xf>
    <xf numFmtId="0" fontId="22" fillId="0" borderId="11" xfId="0" applyNumberFormat="1" applyFont="1" applyFill="1" applyBorder="1" applyAlignment="1">
      <alignment horizontal="left" vertical="center"/>
    </xf>
    <xf numFmtId="0" fontId="23" fillId="19" borderId="11" xfId="0" applyNumberFormat="1" applyFont="1" applyFill="1" applyBorder="1" applyAlignment="1">
      <alignment horizontal="left" vertical="center"/>
    </xf>
  </cellXfs>
  <cellStyles count="7">
    <cellStyle name="Moeda" xfId="1" builtinId="4"/>
    <cellStyle name="Moeda 2" xfId="6"/>
    <cellStyle name="Moeda_Composicao BDI v2.1" xfId="5"/>
    <cellStyle name="Normal" xfId="0" builtinId="0"/>
    <cellStyle name="Normal 2" xfId="3"/>
    <cellStyle name="Normal_FICHA DE VERIFICAÇÃO PRELIMINAR - Plano R" xfId="4"/>
    <cellStyle name="Porcentagem" xfId="2" builtinId="5"/>
  </cellStyles>
  <dxfs count="5">
    <dxf>
      <fill>
        <patternFill>
          <fgColor rgb="FFFFFF00"/>
          <bgColor rgb="FFDAEFC3"/>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381000</xdr:colOff>
      <xdr:row>0</xdr:row>
      <xdr:rowOff>238125</xdr:rowOff>
    </xdr:from>
    <xdr:to>
      <xdr:col>9</xdr:col>
      <xdr:colOff>627380</xdr:colOff>
      <xdr:row>0</xdr:row>
      <xdr:rowOff>739140</xdr:rowOff>
    </xdr:to>
    <xdr:pic>
      <xdr:nvPicPr>
        <xdr:cNvPr id="2" name="Image 1"/>
        <xdr:cNvPicPr/>
      </xdr:nvPicPr>
      <xdr:blipFill>
        <a:blip xmlns:r="http://schemas.openxmlformats.org/officeDocument/2006/relationships" r:embed="rId1" cstate="print"/>
        <a:stretch>
          <a:fillRect/>
        </a:stretch>
      </xdr:blipFill>
      <xdr:spPr>
        <a:xfrm>
          <a:off x="5867400" y="238125"/>
          <a:ext cx="932180" cy="424815"/>
        </a:xfrm>
        <a:prstGeom prst="rect">
          <a:avLst/>
        </a:prstGeom>
      </xdr:spPr>
    </xdr:pic>
    <xdr:clientData/>
  </xdr:twoCellAnchor>
  <xdr:twoCellAnchor>
    <xdr:from>
      <xdr:col>0</xdr:col>
      <xdr:colOff>161925</xdr:colOff>
      <xdr:row>0</xdr:row>
      <xdr:rowOff>123825</xdr:rowOff>
    </xdr:from>
    <xdr:to>
      <xdr:col>1</xdr:col>
      <xdr:colOff>76200</xdr:colOff>
      <xdr:row>0</xdr:row>
      <xdr:rowOff>752475</xdr:rowOff>
    </xdr:to>
    <xdr:grpSp>
      <xdr:nvGrpSpPr>
        <xdr:cNvPr id="3" name="docshapegroup1"/>
        <xdr:cNvGrpSpPr>
          <a:grpSpLocks/>
        </xdr:cNvGrpSpPr>
      </xdr:nvGrpSpPr>
      <xdr:grpSpPr bwMode="auto">
        <a:xfrm>
          <a:off x="161925" y="123825"/>
          <a:ext cx="600075" cy="628650"/>
          <a:chOff x="24" y="25"/>
          <a:chExt cx="1436" cy="1344"/>
        </a:xfrm>
      </xdr:grpSpPr>
      <xdr:pic>
        <xdr:nvPicPr>
          <xdr:cNvPr id="4" name="docshape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 y="25"/>
            <a:ext cx="1431" cy="134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647699</xdr:colOff>
      <xdr:row>0</xdr:row>
      <xdr:rowOff>190500</xdr:rowOff>
    </xdr:from>
    <xdr:to>
      <xdr:col>9</xdr:col>
      <xdr:colOff>438150</xdr:colOff>
      <xdr:row>0</xdr:row>
      <xdr:rowOff>657226</xdr:rowOff>
    </xdr:to>
    <xdr:pic>
      <xdr:nvPicPr>
        <xdr:cNvPr id="2" name="Image 1"/>
        <xdr:cNvPicPr/>
      </xdr:nvPicPr>
      <xdr:blipFill>
        <a:blip xmlns:r="http://schemas.openxmlformats.org/officeDocument/2006/relationships" r:embed="rId1" cstate="print"/>
        <a:stretch>
          <a:fillRect/>
        </a:stretch>
      </xdr:blipFill>
      <xdr:spPr>
        <a:xfrm>
          <a:off x="11925299" y="190500"/>
          <a:ext cx="781051" cy="466726"/>
        </a:xfrm>
        <a:prstGeom prst="rect">
          <a:avLst/>
        </a:prstGeom>
      </xdr:spPr>
    </xdr:pic>
    <xdr:clientData/>
  </xdr:twoCellAnchor>
  <xdr:twoCellAnchor>
    <xdr:from>
      <xdr:col>0</xdr:col>
      <xdr:colOff>200026</xdr:colOff>
      <xdr:row>0</xdr:row>
      <xdr:rowOff>114300</xdr:rowOff>
    </xdr:from>
    <xdr:to>
      <xdr:col>0</xdr:col>
      <xdr:colOff>752475</xdr:colOff>
      <xdr:row>0</xdr:row>
      <xdr:rowOff>685800</xdr:rowOff>
    </xdr:to>
    <xdr:grpSp>
      <xdr:nvGrpSpPr>
        <xdr:cNvPr id="3" name="docshapegroup1"/>
        <xdr:cNvGrpSpPr>
          <a:grpSpLocks/>
        </xdr:cNvGrpSpPr>
      </xdr:nvGrpSpPr>
      <xdr:grpSpPr bwMode="auto">
        <a:xfrm>
          <a:off x="200026" y="114300"/>
          <a:ext cx="552449" cy="571500"/>
          <a:chOff x="24" y="25"/>
          <a:chExt cx="1436" cy="1344"/>
        </a:xfrm>
      </xdr:grpSpPr>
      <xdr:pic>
        <xdr:nvPicPr>
          <xdr:cNvPr id="4" name="docshape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 y="25"/>
            <a:ext cx="1431" cy="134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0</xdr:rowOff>
    </xdr:from>
    <xdr:to>
      <xdr:col>4</xdr:col>
      <xdr:colOff>876300</xdr:colOff>
      <xdr:row>1</xdr:row>
      <xdr:rowOff>0</xdr:rowOff>
    </xdr:to>
    <xdr:sp macro="" textlink="">
      <xdr:nvSpPr>
        <xdr:cNvPr id="6" name="Text Box 6"/>
        <xdr:cNvSpPr txBox="1">
          <a:spLocks noChangeArrowheads="1"/>
        </xdr:cNvSpPr>
      </xdr:nvSpPr>
      <xdr:spPr bwMode="auto">
        <a:xfrm>
          <a:off x="685800" y="0"/>
          <a:ext cx="4800600" cy="752475"/>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900" b="0" i="0" u="none" strike="noStrike" baseline="0">
            <a:solidFill>
              <a:srgbClr val="000000"/>
            </a:solidFill>
            <a:latin typeface="Arial"/>
            <a:cs typeface="Arial"/>
          </a:endParaRPr>
        </a:p>
      </xdr:txBody>
    </xdr:sp>
    <xdr:clientData/>
  </xdr:twoCellAnchor>
  <xdr:twoCellAnchor editAs="oneCell">
    <xdr:from>
      <xdr:col>12</xdr:col>
      <xdr:colOff>0</xdr:colOff>
      <xdr:row>0</xdr:row>
      <xdr:rowOff>85725</xdr:rowOff>
    </xdr:from>
    <xdr:to>
      <xdr:col>12</xdr:col>
      <xdr:colOff>932180</xdr:colOff>
      <xdr:row>0</xdr:row>
      <xdr:rowOff>643890</xdr:rowOff>
    </xdr:to>
    <xdr:pic>
      <xdr:nvPicPr>
        <xdr:cNvPr id="7" name="Image 1"/>
        <xdr:cNvPicPr/>
      </xdr:nvPicPr>
      <xdr:blipFill>
        <a:blip xmlns:r="http://schemas.openxmlformats.org/officeDocument/2006/relationships" r:embed="rId1" cstate="print"/>
        <a:stretch>
          <a:fillRect/>
        </a:stretch>
      </xdr:blipFill>
      <xdr:spPr>
        <a:xfrm>
          <a:off x="15544800" y="85725"/>
          <a:ext cx="932180" cy="558165"/>
        </a:xfrm>
        <a:prstGeom prst="rect">
          <a:avLst/>
        </a:prstGeom>
      </xdr:spPr>
    </xdr:pic>
    <xdr:clientData/>
  </xdr:twoCellAnchor>
  <xdr:twoCellAnchor>
    <xdr:from>
      <xdr:col>0</xdr:col>
      <xdr:colOff>219076</xdr:colOff>
      <xdr:row>0</xdr:row>
      <xdr:rowOff>47625</xdr:rowOff>
    </xdr:from>
    <xdr:to>
      <xdr:col>1</xdr:col>
      <xdr:colOff>38100</xdr:colOff>
      <xdr:row>0</xdr:row>
      <xdr:rowOff>638175</xdr:rowOff>
    </xdr:to>
    <xdr:grpSp>
      <xdr:nvGrpSpPr>
        <xdr:cNvPr id="8" name="docshapegroup1"/>
        <xdr:cNvGrpSpPr>
          <a:grpSpLocks/>
        </xdr:cNvGrpSpPr>
      </xdr:nvGrpSpPr>
      <xdr:grpSpPr bwMode="auto">
        <a:xfrm>
          <a:off x="219076" y="47625"/>
          <a:ext cx="504824" cy="590550"/>
          <a:chOff x="24" y="25"/>
          <a:chExt cx="1436" cy="1344"/>
        </a:xfrm>
      </xdr:grpSpPr>
      <xdr:pic>
        <xdr:nvPicPr>
          <xdr:cNvPr id="9" name="docshape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 y="25"/>
            <a:ext cx="1431" cy="134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Obras/Desktop/BDI/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DESONERADO</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tabSelected="1" workbookViewId="0">
      <selection activeCell="M38" sqref="M38"/>
    </sheetView>
  </sheetViews>
  <sheetFormatPr defaultRowHeight="14.25" x14ac:dyDescent="0.2"/>
  <sheetData>
    <row r="1" spans="1:16" ht="72" customHeight="1" thickBot="1" x14ac:dyDescent="0.25">
      <c r="A1" s="244" t="s">
        <v>961</v>
      </c>
      <c r="B1" s="245"/>
      <c r="C1" s="245"/>
      <c r="D1" s="245"/>
      <c r="E1" s="245"/>
      <c r="F1" s="245"/>
      <c r="G1" s="245"/>
      <c r="H1" s="245"/>
      <c r="I1" s="245"/>
      <c r="J1" s="246"/>
      <c r="K1" s="83"/>
      <c r="L1" s="83"/>
      <c r="M1" s="83"/>
      <c r="N1" s="83"/>
      <c r="O1" s="83"/>
      <c r="P1" s="83"/>
    </row>
    <row r="2" spans="1:16" ht="45.75" customHeight="1" thickBot="1" x14ac:dyDescent="0.25">
      <c r="A2" s="244" t="s">
        <v>962</v>
      </c>
      <c r="B2" s="245"/>
      <c r="C2" s="245"/>
      <c r="D2" s="245"/>
      <c r="E2" s="245"/>
      <c r="F2" s="245"/>
      <c r="G2" s="245"/>
      <c r="H2" s="245"/>
      <c r="I2" s="245"/>
      <c r="J2" s="246"/>
      <c r="K2" s="83"/>
      <c r="L2" s="83"/>
      <c r="M2" s="83"/>
      <c r="N2" s="83"/>
      <c r="O2" s="83"/>
      <c r="P2" s="83"/>
    </row>
    <row r="3" spans="1:16" x14ac:dyDescent="0.2">
      <c r="A3" s="247" t="s">
        <v>949</v>
      </c>
      <c r="B3" s="248"/>
      <c r="C3" s="248"/>
      <c r="D3" s="248"/>
      <c r="E3" s="248"/>
      <c r="F3" s="248"/>
      <c r="G3" s="248"/>
      <c r="H3" s="248"/>
      <c r="I3" s="248"/>
      <c r="J3" s="249"/>
      <c r="K3" s="83"/>
      <c r="L3" s="83"/>
      <c r="M3" s="83"/>
      <c r="N3" s="83"/>
      <c r="O3" s="83"/>
      <c r="P3" s="83"/>
    </row>
    <row r="4" spans="1:16" ht="34.5" customHeight="1" x14ac:dyDescent="0.2">
      <c r="A4" s="250"/>
      <c r="B4" s="251"/>
      <c r="C4" s="251"/>
      <c r="D4" s="251"/>
      <c r="E4" s="251"/>
      <c r="F4" s="251"/>
      <c r="G4" s="251"/>
      <c r="H4" s="251"/>
      <c r="I4" s="251"/>
      <c r="J4" s="252"/>
      <c r="K4" s="83"/>
      <c r="L4" s="83"/>
      <c r="M4" s="83"/>
      <c r="N4" s="83"/>
      <c r="O4" s="83"/>
      <c r="P4" s="83"/>
    </row>
    <row r="5" spans="1:16" x14ac:dyDescent="0.2">
      <c r="A5" s="84"/>
      <c r="B5" s="85"/>
      <c r="C5" s="85"/>
      <c r="D5" s="85"/>
      <c r="E5" s="85"/>
      <c r="F5" s="85"/>
      <c r="G5" s="85"/>
      <c r="H5" s="85"/>
      <c r="I5" s="85"/>
      <c r="J5" s="86"/>
      <c r="K5" s="87"/>
      <c r="L5" s="87"/>
      <c r="M5" s="87"/>
      <c r="N5" s="87"/>
      <c r="O5" s="87"/>
      <c r="P5" s="87"/>
    </row>
    <row r="6" spans="1:16" x14ac:dyDescent="0.2">
      <c r="A6" s="253" t="s">
        <v>963</v>
      </c>
      <c r="B6" s="254"/>
      <c r="C6" s="254"/>
      <c r="D6" s="254"/>
      <c r="E6" s="254"/>
      <c r="F6" s="254"/>
      <c r="G6" s="254"/>
      <c r="H6" s="254"/>
      <c r="I6" s="255">
        <v>0.5</v>
      </c>
      <c r="J6" s="256"/>
      <c r="K6" s="87"/>
      <c r="L6" s="87"/>
      <c r="M6" s="87"/>
      <c r="N6" s="87"/>
      <c r="O6" s="87"/>
      <c r="P6" s="87"/>
    </row>
    <row r="7" spans="1:16" x14ac:dyDescent="0.2">
      <c r="A7" s="257" t="s">
        <v>964</v>
      </c>
      <c r="B7" s="258"/>
      <c r="C7" s="258"/>
      <c r="D7" s="258"/>
      <c r="E7" s="258"/>
      <c r="F7" s="258"/>
      <c r="G7" s="258"/>
      <c r="H7" s="258"/>
      <c r="I7" s="255">
        <v>0.05</v>
      </c>
      <c r="J7" s="256"/>
      <c r="K7" s="87"/>
      <c r="L7" s="87"/>
      <c r="M7" s="87"/>
      <c r="N7" s="87"/>
      <c r="O7" s="87"/>
      <c r="P7" s="87"/>
    </row>
    <row r="8" spans="1:16" x14ac:dyDescent="0.2">
      <c r="A8" s="84"/>
      <c r="B8" s="85"/>
      <c r="C8" s="85"/>
      <c r="D8" s="85"/>
      <c r="E8" s="85"/>
      <c r="F8" s="85"/>
      <c r="G8" s="85"/>
      <c r="H8" s="85"/>
      <c r="I8" s="85"/>
      <c r="J8" s="86"/>
      <c r="K8" s="87"/>
      <c r="L8" s="87"/>
      <c r="M8" s="87"/>
      <c r="N8" s="87"/>
      <c r="O8" s="87"/>
      <c r="P8" s="87"/>
    </row>
    <row r="9" spans="1:16" x14ac:dyDescent="0.2">
      <c r="A9" s="235" t="s">
        <v>965</v>
      </c>
      <c r="B9" s="236"/>
      <c r="C9" s="236"/>
      <c r="D9" s="236"/>
      <c r="E9" s="236"/>
      <c r="F9" s="236"/>
      <c r="G9" s="236"/>
      <c r="H9" s="236"/>
      <c r="I9" s="236"/>
      <c r="J9" s="237"/>
      <c r="K9" s="87"/>
      <c r="L9" s="87"/>
      <c r="M9" s="87"/>
      <c r="N9" s="87"/>
      <c r="O9" s="87"/>
      <c r="P9" s="87"/>
    </row>
    <row r="10" spans="1:16" x14ac:dyDescent="0.2">
      <c r="A10" s="238" t="s">
        <v>966</v>
      </c>
      <c r="B10" s="239"/>
      <c r="C10" s="239"/>
      <c r="D10" s="239"/>
      <c r="E10" s="239"/>
      <c r="F10" s="239"/>
      <c r="G10" s="239"/>
      <c r="H10" s="239"/>
      <c r="I10" s="239"/>
      <c r="J10" s="240"/>
      <c r="K10" s="87"/>
      <c r="L10" s="87"/>
      <c r="M10" s="87"/>
      <c r="N10" s="87"/>
      <c r="O10" s="87"/>
      <c r="P10" s="87"/>
    </row>
    <row r="11" spans="1:16" x14ac:dyDescent="0.2">
      <c r="A11" s="84"/>
      <c r="B11" s="85"/>
      <c r="C11" s="85"/>
      <c r="D11" s="85"/>
      <c r="E11" s="85"/>
      <c r="F11" s="85"/>
      <c r="G11" s="85"/>
      <c r="H11" s="85"/>
      <c r="I11" s="85"/>
      <c r="J11" s="86"/>
      <c r="K11" s="87"/>
      <c r="L11" s="87"/>
      <c r="M11" s="87"/>
      <c r="N11" s="87"/>
      <c r="O11" s="87"/>
      <c r="P11" s="87"/>
    </row>
    <row r="12" spans="1:16" x14ac:dyDescent="0.2">
      <c r="A12" s="241" t="s">
        <v>967</v>
      </c>
      <c r="B12" s="242"/>
      <c r="C12" s="242"/>
      <c r="D12" s="242"/>
      <c r="E12" s="242"/>
      <c r="F12" s="242"/>
      <c r="G12" s="242"/>
      <c r="H12" s="242"/>
      <c r="I12" s="242" t="s">
        <v>968</v>
      </c>
      <c r="J12" s="243" t="s">
        <v>969</v>
      </c>
      <c r="K12" s="87"/>
      <c r="L12" s="221" t="s">
        <v>970</v>
      </c>
      <c r="M12" s="221"/>
      <c r="N12" s="221"/>
      <c r="O12" s="234" t="s">
        <v>971</v>
      </c>
      <c r="P12" s="234" t="s">
        <v>972</v>
      </c>
    </row>
    <row r="13" spans="1:16" x14ac:dyDescent="0.2">
      <c r="A13" s="241"/>
      <c r="B13" s="242"/>
      <c r="C13" s="242"/>
      <c r="D13" s="242"/>
      <c r="E13" s="242"/>
      <c r="F13" s="242"/>
      <c r="G13" s="242"/>
      <c r="H13" s="242"/>
      <c r="I13" s="242"/>
      <c r="J13" s="243"/>
      <c r="K13" s="87"/>
      <c r="L13" s="221"/>
      <c r="M13" s="221"/>
      <c r="N13" s="221"/>
      <c r="O13" s="234"/>
      <c r="P13" s="234"/>
    </row>
    <row r="14" spans="1:16" x14ac:dyDescent="0.2">
      <c r="A14" s="219" t="str">
        <f>IF($J$22=$A$160,"Encargos Sociais incidentes sobre a mão de obra","Administração Central")</f>
        <v>Administração Central</v>
      </c>
      <c r="B14" s="220"/>
      <c r="C14" s="220"/>
      <c r="D14" s="220"/>
      <c r="E14" s="220"/>
      <c r="F14" s="220"/>
      <c r="G14" s="220"/>
      <c r="H14" s="220"/>
      <c r="I14" s="88" t="s">
        <v>973</v>
      </c>
      <c r="J14" s="89">
        <v>0.03</v>
      </c>
      <c r="K14" s="87"/>
      <c r="L14" s="233" t="s">
        <v>974</v>
      </c>
      <c r="M14" s="233"/>
      <c r="N14" s="233"/>
      <c r="O14" s="90">
        <v>0.03</v>
      </c>
      <c r="P14" s="90">
        <v>0.04</v>
      </c>
    </row>
    <row r="15" spans="1:16" x14ac:dyDescent="0.2">
      <c r="A15" s="219" t="str">
        <f>IF($J$22=$A$160,"Administração Central da empresa ou consultoria - overhead","Seguro e Garantia")</f>
        <v>Seguro e Garantia</v>
      </c>
      <c r="B15" s="220"/>
      <c r="C15" s="220"/>
      <c r="D15" s="220"/>
      <c r="E15" s="220"/>
      <c r="F15" s="220"/>
      <c r="G15" s="220"/>
      <c r="H15" s="220"/>
      <c r="I15" s="88" t="s">
        <v>975</v>
      </c>
      <c r="J15" s="89">
        <v>0.01</v>
      </c>
      <c r="K15" s="87"/>
      <c r="L15" s="233" t="s">
        <v>974</v>
      </c>
      <c r="M15" s="233"/>
      <c r="N15" s="233"/>
      <c r="O15" s="90">
        <v>8.0000000000000002E-3</v>
      </c>
      <c r="P15" s="90">
        <v>8.0000000000000002E-3</v>
      </c>
    </row>
    <row r="16" spans="1:16" x14ac:dyDescent="0.2">
      <c r="A16" s="219" t="str">
        <f>IF($J$22=$A$160,"","Risco")</f>
        <v>Risco</v>
      </c>
      <c r="B16" s="220"/>
      <c r="C16" s="220"/>
      <c r="D16" s="220"/>
      <c r="E16" s="220"/>
      <c r="F16" s="220"/>
      <c r="G16" s="220"/>
      <c r="H16" s="220"/>
      <c r="I16" s="88" t="s">
        <v>976</v>
      </c>
      <c r="J16" s="89">
        <v>0.01</v>
      </c>
      <c r="K16" s="87"/>
      <c r="L16" s="233" t="s">
        <v>974</v>
      </c>
      <c r="M16" s="233"/>
      <c r="N16" s="233"/>
      <c r="O16" s="90">
        <v>9.7000000000000003E-3</v>
      </c>
      <c r="P16" s="90">
        <v>1.2699999999999999E-2</v>
      </c>
    </row>
    <row r="17" spans="1:16" x14ac:dyDescent="0.2">
      <c r="A17" s="219" t="str">
        <f>IF($J$22=$A$160,"","Despesas Financeiras")</f>
        <v>Despesas Financeiras</v>
      </c>
      <c r="B17" s="220"/>
      <c r="C17" s="220"/>
      <c r="D17" s="220"/>
      <c r="E17" s="220"/>
      <c r="F17" s="220"/>
      <c r="G17" s="220"/>
      <c r="H17" s="220"/>
      <c r="I17" s="88" t="s">
        <v>977</v>
      </c>
      <c r="J17" s="89">
        <v>1.3599999999999999E-2</v>
      </c>
      <c r="K17" s="87"/>
      <c r="L17" s="233" t="s">
        <v>974</v>
      </c>
      <c r="M17" s="233"/>
      <c r="N17" s="233"/>
      <c r="O17" s="90">
        <v>5.8999999999999999E-3</v>
      </c>
      <c r="P17" s="90">
        <v>1.23E-2</v>
      </c>
    </row>
    <row r="18" spans="1:16" x14ac:dyDescent="0.2">
      <c r="A18" s="219" t="str">
        <f>IF($J$22=$A$160,"Margem bruta da empresa de consultoria","Lucro")</f>
        <v>Lucro</v>
      </c>
      <c r="B18" s="220"/>
      <c r="C18" s="220"/>
      <c r="D18" s="220"/>
      <c r="E18" s="220"/>
      <c r="F18" s="220"/>
      <c r="G18" s="220"/>
      <c r="H18" s="220"/>
      <c r="I18" s="88" t="s">
        <v>978</v>
      </c>
      <c r="J18" s="89">
        <v>6.4000000000000001E-2</v>
      </c>
      <c r="K18" s="87"/>
      <c r="L18" s="233" t="s">
        <v>974</v>
      </c>
      <c r="M18" s="233"/>
      <c r="N18" s="233"/>
      <c r="O18" s="90">
        <v>6.1600000000000002E-2</v>
      </c>
      <c r="P18" s="90">
        <v>7.3999999999999996E-2</v>
      </c>
    </row>
    <row r="19" spans="1:16" x14ac:dyDescent="0.2">
      <c r="A19" s="219" t="s">
        <v>979</v>
      </c>
      <c r="B19" s="220"/>
      <c r="C19" s="220"/>
      <c r="D19" s="220"/>
      <c r="E19" s="220"/>
      <c r="F19" s="220"/>
      <c r="G19" s="220"/>
      <c r="H19" s="220"/>
      <c r="I19" s="88" t="s">
        <v>980</v>
      </c>
      <c r="J19" s="89">
        <v>3.6499999999999998E-2</v>
      </c>
      <c r="K19" s="87"/>
      <c r="L19" s="233" t="s">
        <v>974</v>
      </c>
      <c r="M19" s="233"/>
      <c r="N19" s="233"/>
      <c r="O19" s="90">
        <v>3.6499999999999998E-2</v>
      </c>
      <c r="P19" s="90">
        <v>3.6499999999999998E-2</v>
      </c>
    </row>
    <row r="20" spans="1:16" x14ac:dyDescent="0.2">
      <c r="A20" s="219" t="s">
        <v>981</v>
      </c>
      <c r="B20" s="220"/>
      <c r="C20" s="220"/>
      <c r="D20" s="220"/>
      <c r="E20" s="220"/>
      <c r="F20" s="220"/>
      <c r="G20" s="220"/>
      <c r="H20" s="220"/>
      <c r="I20" s="88" t="s">
        <v>982</v>
      </c>
      <c r="J20" s="91">
        <v>2.5000000000000001E-2</v>
      </c>
      <c r="K20" s="87"/>
      <c r="L20" s="233" t="s">
        <v>974</v>
      </c>
      <c r="M20" s="233"/>
      <c r="N20" s="233"/>
      <c r="O20" s="90">
        <v>0</v>
      </c>
      <c r="P20" s="90">
        <v>2.5000000000000001E-2</v>
      </c>
    </row>
    <row r="21" spans="1:16" x14ac:dyDescent="0.2">
      <c r="A21" s="219" t="s">
        <v>983</v>
      </c>
      <c r="B21" s="220"/>
      <c r="C21" s="220"/>
      <c r="D21" s="220"/>
      <c r="E21" s="220"/>
      <c r="F21" s="220"/>
      <c r="G21" s="220"/>
      <c r="H21" s="220"/>
      <c r="I21" s="88" t="s">
        <v>984</v>
      </c>
      <c r="J21" s="91">
        <v>4.4999999999999998E-2</v>
      </c>
      <c r="K21" s="87"/>
      <c r="L21" s="233" t="s">
        <v>974</v>
      </c>
      <c r="M21" s="233"/>
      <c r="N21" s="233"/>
      <c r="O21" s="92">
        <v>0</v>
      </c>
      <c r="P21" s="92">
        <v>4.4999999999999998E-2</v>
      </c>
    </row>
    <row r="22" spans="1:16" x14ac:dyDescent="0.2">
      <c r="A22" s="219" t="s">
        <v>985</v>
      </c>
      <c r="B22" s="220"/>
      <c r="C22" s="220"/>
      <c r="D22" s="220"/>
      <c r="E22" s="220"/>
      <c r="F22" s="220"/>
      <c r="G22" s="220"/>
      <c r="H22" s="220"/>
      <c r="I22" s="93" t="s">
        <v>986</v>
      </c>
      <c r="J22" s="91">
        <f>(ROUND((((1+J14+J15+J16)*(1+J17)*(1+J18)/(1-(J19+J20)))-1),4))</f>
        <v>0.20660000000000001</v>
      </c>
      <c r="K22" s="87"/>
      <c r="L22" s="221" t="str">
        <f>IF(OR($J$22=$A$160,$J$22=$A$159,AND(J22&gt;=O22,J22&lt;=Q22)),"OK","FORA DO INTERVALO")</f>
        <v>FORA DO INTERVALO</v>
      </c>
      <c r="M22" s="221"/>
      <c r="N22" s="221"/>
      <c r="O22" s="90">
        <v>0.2034</v>
      </c>
      <c r="P22" s="90">
        <v>0.22120000000000001</v>
      </c>
    </row>
    <row r="23" spans="1:16" x14ac:dyDescent="0.2">
      <c r="A23" s="222" t="s">
        <v>987</v>
      </c>
      <c r="B23" s="223"/>
      <c r="C23" s="223"/>
      <c r="D23" s="223"/>
      <c r="E23" s="223"/>
      <c r="F23" s="223"/>
      <c r="G23" s="223"/>
      <c r="H23" s="223"/>
      <c r="I23" s="94" t="s">
        <v>988</v>
      </c>
      <c r="J23" s="95">
        <f>ROUND((((1+J14+J15+J16)*(1+J17)*(1+J18)/(1-(J19+J20+J21)))-1),4)</f>
        <v>0.26740000000000003</v>
      </c>
      <c r="K23" s="87"/>
      <c r="L23" s="87"/>
      <c r="M23" s="87"/>
      <c r="N23" s="87"/>
      <c r="O23" s="87"/>
      <c r="P23" s="87"/>
    </row>
    <row r="24" spans="1:16" x14ac:dyDescent="0.2">
      <c r="A24" s="84"/>
      <c r="B24" s="85"/>
      <c r="C24" s="85"/>
      <c r="D24" s="85"/>
      <c r="E24" s="85"/>
      <c r="F24" s="85"/>
      <c r="G24" s="85"/>
      <c r="H24" s="85"/>
      <c r="I24" s="85"/>
      <c r="J24" s="86"/>
      <c r="K24" s="87"/>
      <c r="L24" s="87"/>
      <c r="M24" s="87"/>
      <c r="N24" s="87"/>
      <c r="O24" s="87"/>
      <c r="P24" s="87"/>
    </row>
    <row r="25" spans="1:16" x14ac:dyDescent="0.2">
      <c r="A25" s="96"/>
      <c r="B25" s="224"/>
      <c r="C25" s="224"/>
      <c r="D25" s="224"/>
      <c r="E25" s="224"/>
      <c r="F25" s="224"/>
      <c r="G25" s="224"/>
      <c r="H25" s="224"/>
      <c r="I25" s="224"/>
      <c r="J25" s="225"/>
      <c r="K25" s="87"/>
      <c r="L25" s="87"/>
      <c r="M25" s="87"/>
      <c r="N25" s="87"/>
      <c r="O25" s="87"/>
      <c r="P25" s="87"/>
    </row>
    <row r="26" spans="1:16" x14ac:dyDescent="0.2">
      <c r="A26" s="84"/>
      <c r="B26" s="85"/>
      <c r="C26" s="85"/>
      <c r="D26" s="85"/>
      <c r="E26" s="85"/>
      <c r="F26" s="85"/>
      <c r="G26" s="85"/>
      <c r="H26" s="85"/>
      <c r="I26" s="85"/>
      <c r="J26" s="86"/>
      <c r="K26" s="87"/>
      <c r="L26" s="87"/>
      <c r="M26" s="87"/>
      <c r="N26" s="87"/>
      <c r="O26" s="87"/>
      <c r="P26" s="87"/>
    </row>
    <row r="27" spans="1:16" x14ac:dyDescent="0.2">
      <c r="A27" s="226" t="s">
        <v>989</v>
      </c>
      <c r="B27" s="227"/>
      <c r="C27" s="227"/>
      <c r="D27" s="227"/>
      <c r="E27" s="227"/>
      <c r="F27" s="227"/>
      <c r="G27" s="227"/>
      <c r="H27" s="227"/>
      <c r="I27" s="227"/>
      <c r="J27" s="228"/>
      <c r="K27" s="87"/>
      <c r="L27" s="87"/>
      <c r="M27" s="87"/>
      <c r="N27" s="87"/>
      <c r="O27" s="87"/>
      <c r="P27" s="87"/>
    </row>
    <row r="28" spans="1:16" x14ac:dyDescent="0.2">
      <c r="A28" s="97"/>
      <c r="B28" s="98"/>
      <c r="C28" s="98"/>
      <c r="D28" s="229" t="s">
        <v>990</v>
      </c>
      <c r="E28" s="230" t="str">
        <f>IF($J10=$A$160,"(1+K1+K2)*(1+K3)","(1+AC + S + R + G)*(1 + DF)*(1+L)")</f>
        <v>(1+K1+K2)*(1+K3)</v>
      </c>
      <c r="F28" s="230"/>
      <c r="G28" s="230"/>
      <c r="H28" s="231" t="s">
        <v>991</v>
      </c>
      <c r="I28" s="98"/>
      <c r="J28" s="99"/>
      <c r="K28" s="87"/>
      <c r="L28" s="87"/>
      <c r="M28" s="87"/>
      <c r="N28" s="87"/>
      <c r="O28" s="87"/>
      <c r="P28" s="87"/>
    </row>
    <row r="29" spans="1:16" x14ac:dyDescent="0.2">
      <c r="A29" s="97"/>
      <c r="B29" s="98"/>
      <c r="C29" s="98"/>
      <c r="D29" s="229"/>
      <c r="E29" s="232" t="s">
        <v>992</v>
      </c>
      <c r="F29" s="232"/>
      <c r="G29" s="232"/>
      <c r="H29" s="231"/>
      <c r="I29" s="98"/>
      <c r="J29" s="99"/>
      <c r="K29" s="87"/>
      <c r="L29" s="87"/>
      <c r="M29" s="87"/>
      <c r="N29" s="87"/>
      <c r="O29" s="87"/>
      <c r="P29" s="87"/>
    </row>
    <row r="30" spans="1:16" x14ac:dyDescent="0.2">
      <c r="A30" s="100"/>
      <c r="B30" s="101"/>
      <c r="C30" s="101"/>
      <c r="D30" s="101"/>
      <c r="E30" s="101"/>
      <c r="F30" s="101"/>
      <c r="G30" s="101"/>
      <c r="H30" s="101"/>
      <c r="I30" s="101"/>
      <c r="J30" s="102"/>
      <c r="K30" s="87"/>
      <c r="L30" s="87"/>
      <c r="M30" s="87"/>
      <c r="N30" s="87"/>
      <c r="O30" s="87"/>
      <c r="P30" s="87"/>
    </row>
    <row r="31" spans="1:16" ht="28.5" customHeight="1" x14ac:dyDescent="0.2">
      <c r="A31" s="209" t="s">
        <v>993</v>
      </c>
      <c r="B31" s="210"/>
      <c r="C31" s="210"/>
      <c r="D31" s="210"/>
      <c r="E31" s="210"/>
      <c r="F31" s="210"/>
      <c r="G31" s="210"/>
      <c r="H31" s="210"/>
      <c r="I31" s="210"/>
      <c r="J31" s="211"/>
      <c r="K31" s="87"/>
      <c r="L31" s="87"/>
      <c r="M31" s="87"/>
      <c r="N31" s="87"/>
      <c r="O31" s="87"/>
      <c r="P31" s="87"/>
    </row>
    <row r="32" spans="1:16" x14ac:dyDescent="0.2">
      <c r="A32" s="84"/>
      <c r="B32" s="85"/>
      <c r="C32" s="85"/>
      <c r="D32" s="85"/>
      <c r="E32" s="85"/>
      <c r="F32" s="85"/>
      <c r="G32" s="85"/>
      <c r="H32" s="85"/>
      <c r="I32" s="85"/>
      <c r="J32" s="86"/>
      <c r="K32" s="87"/>
      <c r="L32" s="87"/>
      <c r="M32" s="87"/>
      <c r="N32" s="87"/>
      <c r="O32" s="87"/>
      <c r="P32" s="87"/>
    </row>
    <row r="33" spans="1:16" ht="30.75" customHeight="1" x14ac:dyDescent="0.2">
      <c r="A33" s="209" t="s">
        <v>994</v>
      </c>
      <c r="B33" s="210"/>
      <c r="C33" s="210"/>
      <c r="D33" s="210"/>
      <c r="E33" s="210"/>
      <c r="F33" s="210"/>
      <c r="G33" s="210"/>
      <c r="H33" s="210"/>
      <c r="I33" s="210"/>
      <c r="J33" s="211"/>
      <c r="K33" s="87"/>
      <c r="L33" s="87"/>
      <c r="M33" s="87"/>
      <c r="N33" s="87"/>
      <c r="O33" s="87"/>
      <c r="P33" s="87"/>
    </row>
    <row r="34" spans="1:16" x14ac:dyDescent="0.2">
      <c r="A34" s="84"/>
      <c r="B34" s="85"/>
      <c r="C34" s="85"/>
      <c r="D34" s="85"/>
      <c r="E34" s="85"/>
      <c r="F34" s="85"/>
      <c r="G34" s="85"/>
      <c r="H34" s="85"/>
      <c r="I34" s="85"/>
      <c r="J34" s="86"/>
      <c r="K34" s="87"/>
      <c r="L34" s="87"/>
      <c r="M34" s="87"/>
      <c r="N34" s="87"/>
      <c r="O34" s="87"/>
      <c r="P34" s="87"/>
    </row>
    <row r="35" spans="1:16" x14ac:dyDescent="0.2">
      <c r="A35" s="84" t="s">
        <v>995</v>
      </c>
      <c r="B35" s="85"/>
      <c r="C35" s="85"/>
      <c r="D35" s="85"/>
      <c r="E35" s="85"/>
      <c r="F35" s="85"/>
      <c r="G35" s="85"/>
      <c r="H35" s="85"/>
      <c r="I35" s="85"/>
      <c r="J35" s="86"/>
      <c r="K35" s="87"/>
      <c r="L35" s="87"/>
      <c r="M35" s="87"/>
      <c r="N35" s="87"/>
      <c r="O35" s="87"/>
      <c r="P35" s="87"/>
    </row>
    <row r="36" spans="1:16" x14ac:dyDescent="0.2">
      <c r="A36" s="212"/>
      <c r="B36" s="213"/>
      <c r="C36" s="213"/>
      <c r="D36" s="213"/>
      <c r="E36" s="213"/>
      <c r="F36" s="213"/>
      <c r="G36" s="213"/>
      <c r="H36" s="213"/>
      <c r="I36" s="213"/>
      <c r="J36" s="214"/>
      <c r="K36" s="87"/>
      <c r="L36" s="87"/>
      <c r="M36" s="87"/>
      <c r="N36" s="87"/>
      <c r="O36" s="87"/>
      <c r="P36" s="87"/>
    </row>
    <row r="37" spans="1:16" x14ac:dyDescent="0.2">
      <c r="A37" s="84"/>
      <c r="B37" s="85"/>
      <c r="C37" s="85"/>
      <c r="D37" s="85"/>
      <c r="E37" s="85"/>
      <c r="F37" s="85"/>
      <c r="G37" s="85"/>
      <c r="H37" s="85"/>
      <c r="I37" s="85"/>
      <c r="J37" s="86"/>
      <c r="K37" s="87"/>
      <c r="L37" s="87"/>
      <c r="M37" s="87"/>
      <c r="N37" s="87"/>
      <c r="O37" s="87"/>
      <c r="P37" s="87"/>
    </row>
    <row r="38" spans="1:16" x14ac:dyDescent="0.2">
      <c r="A38" s="215" t="s">
        <v>952</v>
      </c>
      <c r="B38" s="216"/>
      <c r="C38" s="103"/>
      <c r="D38" s="103"/>
      <c r="E38" s="85"/>
      <c r="F38" s="85"/>
      <c r="G38" s="217">
        <f ca="1">TODAY()</f>
        <v>46121</v>
      </c>
      <c r="H38" s="217"/>
      <c r="I38" s="217"/>
      <c r="J38" s="218"/>
      <c r="K38" s="87"/>
      <c r="L38" s="87"/>
      <c r="M38" s="87"/>
      <c r="N38" s="87"/>
      <c r="O38" s="87"/>
      <c r="P38" s="87"/>
    </row>
    <row r="39" spans="1:16" x14ac:dyDescent="0.2">
      <c r="A39" s="104" t="s">
        <v>953</v>
      </c>
      <c r="B39" s="105"/>
      <c r="C39" s="105"/>
      <c r="D39" s="105"/>
      <c r="E39" s="85"/>
      <c r="F39" s="106"/>
      <c r="G39" s="107" t="s">
        <v>954</v>
      </c>
      <c r="H39" s="108"/>
      <c r="I39" s="108"/>
      <c r="J39" s="109"/>
      <c r="K39" s="87"/>
      <c r="L39" s="87"/>
      <c r="M39" s="87"/>
      <c r="N39" s="87"/>
      <c r="O39" s="87"/>
      <c r="P39" s="87"/>
    </row>
    <row r="40" spans="1:16" x14ac:dyDescent="0.2">
      <c r="A40" s="104"/>
      <c r="B40" s="105"/>
      <c r="C40" s="105"/>
      <c r="D40" s="105"/>
      <c r="E40" s="85"/>
      <c r="F40" s="106"/>
      <c r="G40" s="110"/>
      <c r="H40" s="85"/>
      <c r="I40" s="85"/>
      <c r="J40" s="86"/>
      <c r="K40" s="87"/>
      <c r="L40" s="87"/>
      <c r="M40" s="87"/>
      <c r="N40" s="87"/>
      <c r="O40" s="87"/>
      <c r="P40" s="87"/>
    </row>
    <row r="41" spans="1:16" x14ac:dyDescent="0.2">
      <c r="A41" s="104"/>
      <c r="B41" s="105"/>
      <c r="C41" s="105"/>
      <c r="D41" s="105"/>
      <c r="E41" s="85"/>
      <c r="F41" s="106"/>
      <c r="G41" s="110"/>
      <c r="H41" s="85"/>
      <c r="I41" s="85"/>
      <c r="J41" s="86"/>
      <c r="K41" s="87"/>
      <c r="L41" s="87"/>
      <c r="M41" s="87"/>
      <c r="N41" s="87"/>
      <c r="O41" s="87"/>
      <c r="P41" s="87"/>
    </row>
    <row r="42" spans="1:16" x14ac:dyDescent="0.2">
      <c r="A42" s="104"/>
      <c r="B42" s="105"/>
      <c r="C42" s="105"/>
      <c r="D42" s="105"/>
      <c r="E42" s="85"/>
      <c r="F42" s="106"/>
      <c r="G42" s="110"/>
      <c r="H42" s="85"/>
      <c r="I42" s="85"/>
      <c r="J42" s="86"/>
      <c r="K42" s="87"/>
      <c r="L42" s="87"/>
      <c r="M42" s="87"/>
      <c r="N42" s="87"/>
      <c r="O42" s="87"/>
      <c r="P42" s="87"/>
    </row>
    <row r="43" spans="1:16" x14ac:dyDescent="0.2">
      <c r="A43" s="104"/>
      <c r="B43" s="105"/>
      <c r="C43" s="105"/>
      <c r="D43" s="105"/>
      <c r="E43" s="85"/>
      <c r="F43" s="106"/>
      <c r="G43" s="110"/>
      <c r="H43" s="85"/>
      <c r="I43" s="85"/>
      <c r="J43" s="86"/>
      <c r="K43" s="87"/>
      <c r="L43" s="87"/>
      <c r="M43" s="87"/>
      <c r="N43" s="87"/>
      <c r="O43" s="87"/>
      <c r="P43" s="87"/>
    </row>
    <row r="44" spans="1:16" x14ac:dyDescent="0.2">
      <c r="A44" s="84"/>
      <c r="B44" s="85"/>
      <c r="C44" s="85"/>
      <c r="D44" s="85"/>
      <c r="E44" s="85"/>
      <c r="F44" s="85"/>
      <c r="G44" s="85"/>
      <c r="H44" s="85"/>
      <c r="I44" s="85"/>
      <c r="J44" s="86"/>
      <c r="K44" s="87"/>
      <c r="L44" s="87"/>
      <c r="M44" s="87"/>
      <c r="N44" s="87"/>
      <c r="O44" s="87"/>
      <c r="P44" s="87"/>
    </row>
    <row r="45" spans="1:16" x14ac:dyDescent="0.2">
      <c r="A45" s="111"/>
      <c r="B45" s="112"/>
      <c r="C45" s="112"/>
      <c r="D45" s="112"/>
      <c r="E45" s="113"/>
      <c r="F45" s="122"/>
      <c r="G45" s="85"/>
      <c r="H45" s="85"/>
      <c r="I45" s="85"/>
      <c r="J45" s="86"/>
      <c r="K45" s="87"/>
      <c r="L45" s="87"/>
      <c r="M45" s="87"/>
      <c r="N45" s="87"/>
      <c r="O45" s="87"/>
      <c r="P45" s="87"/>
    </row>
    <row r="46" spans="1:16" x14ac:dyDescent="0.2">
      <c r="A46" s="114" t="s">
        <v>957</v>
      </c>
      <c r="B46" s="115"/>
      <c r="C46" s="115"/>
      <c r="D46" s="115"/>
      <c r="E46" s="85"/>
      <c r="F46" s="120" t="s">
        <v>955</v>
      </c>
      <c r="G46" s="115"/>
      <c r="H46" s="115"/>
      <c r="I46" s="115"/>
      <c r="J46" s="86"/>
      <c r="K46" s="87"/>
      <c r="L46" s="87"/>
      <c r="M46" s="87"/>
      <c r="N46" s="87"/>
      <c r="O46" s="87"/>
      <c r="P46" s="87"/>
    </row>
    <row r="47" spans="1:16" x14ac:dyDescent="0.2">
      <c r="A47" s="116" t="s">
        <v>996</v>
      </c>
      <c r="B47" s="117" t="s">
        <v>958</v>
      </c>
      <c r="C47" s="117"/>
      <c r="D47" s="117"/>
      <c r="E47" s="85"/>
      <c r="F47" s="121" t="s">
        <v>996</v>
      </c>
      <c r="G47" s="117" t="s">
        <v>956</v>
      </c>
      <c r="H47" s="117"/>
      <c r="I47" s="117"/>
      <c r="J47" s="86"/>
      <c r="K47" s="87"/>
      <c r="L47" s="87"/>
      <c r="M47" s="87"/>
      <c r="N47" s="87"/>
      <c r="O47" s="87"/>
      <c r="P47" s="87"/>
    </row>
    <row r="48" spans="1:16" x14ac:dyDescent="0.2">
      <c r="A48" s="116" t="s">
        <v>997</v>
      </c>
      <c r="B48" s="117" t="s">
        <v>998</v>
      </c>
      <c r="C48" s="117"/>
      <c r="D48" s="117"/>
      <c r="E48" s="85"/>
      <c r="F48" s="121"/>
      <c r="G48" s="117"/>
      <c r="H48" s="117"/>
      <c r="I48" s="117"/>
      <c r="J48" s="86"/>
      <c r="K48" s="87"/>
      <c r="L48" s="87"/>
      <c r="M48" s="87"/>
      <c r="N48" s="87"/>
      <c r="O48" s="87"/>
      <c r="P48" s="87"/>
    </row>
    <row r="49" spans="1:10" ht="15" thickBot="1" x14ac:dyDescent="0.25">
      <c r="A49" s="118"/>
      <c r="B49" s="119"/>
      <c r="C49" s="119"/>
      <c r="D49" s="119"/>
      <c r="E49" s="119"/>
      <c r="F49" s="119"/>
      <c r="G49" s="119"/>
      <c r="H49" s="119"/>
      <c r="I49" s="119"/>
      <c r="J49" s="73"/>
    </row>
  </sheetData>
  <mergeCells count="45">
    <mergeCell ref="A7:H7"/>
    <mergeCell ref="I7:J7"/>
    <mergeCell ref="A1:J1"/>
    <mergeCell ref="A2:J2"/>
    <mergeCell ref="A3:J4"/>
    <mergeCell ref="A6:H6"/>
    <mergeCell ref="I6:J6"/>
    <mergeCell ref="A9:J9"/>
    <mergeCell ref="A10:J10"/>
    <mergeCell ref="A12:H13"/>
    <mergeCell ref="I12:I13"/>
    <mergeCell ref="J12:J13"/>
    <mergeCell ref="O12:O13"/>
    <mergeCell ref="P12:P13"/>
    <mergeCell ref="A14:H14"/>
    <mergeCell ref="L14:N14"/>
    <mergeCell ref="A15:H15"/>
    <mergeCell ref="L15:N15"/>
    <mergeCell ref="L12:N13"/>
    <mergeCell ref="A16:H16"/>
    <mergeCell ref="L16:N16"/>
    <mergeCell ref="A17:H17"/>
    <mergeCell ref="L17:N17"/>
    <mergeCell ref="A18:H18"/>
    <mergeCell ref="L18:N18"/>
    <mergeCell ref="L19:N19"/>
    <mergeCell ref="A20:H20"/>
    <mergeCell ref="L20:N20"/>
    <mergeCell ref="A21:H21"/>
    <mergeCell ref="L21:N21"/>
    <mergeCell ref="D28:D29"/>
    <mergeCell ref="E28:G28"/>
    <mergeCell ref="H28:H29"/>
    <mergeCell ref="E29:G29"/>
    <mergeCell ref="A19:H19"/>
    <mergeCell ref="A22:H22"/>
    <mergeCell ref="L22:N22"/>
    <mergeCell ref="A23:H23"/>
    <mergeCell ref="B25:J25"/>
    <mergeCell ref="A27:J27"/>
    <mergeCell ref="A31:J31"/>
    <mergeCell ref="A33:J33"/>
    <mergeCell ref="A36:J36"/>
    <mergeCell ref="A38:B38"/>
    <mergeCell ref="G38:J38"/>
  </mergeCells>
  <conditionalFormatting sqref="A23:J23">
    <cfRule type="expression" dxfId="4" priority="4" stopIfTrue="1">
      <formula>DESONERACAO="não"</formula>
    </cfRule>
  </conditionalFormatting>
  <conditionalFormatting sqref="L22:N22">
    <cfRule type="expression" dxfId="3" priority="2" stopIfTrue="1">
      <formula>AND(L22&lt;&gt;"OK",L22&lt;&gt;"-",L22&lt;&gt;"")</formula>
    </cfRule>
    <cfRule type="cellIs" dxfId="2" priority="3" stopIfTrue="1" operator="equal">
      <formula>"OK"</formula>
    </cfRule>
  </conditionalFormatting>
  <conditionalFormatting sqref="J22">
    <cfRule type="expression" dxfId="1" priority="1" stopIfTrue="1">
      <formula>DESONERACAO="não"</formula>
    </cfRule>
  </conditionalFormatting>
  <dataValidations disablePrompts="1" count="5">
    <dataValidation operator="greaterThanOrEqual" allowBlank="1" showErrorMessage="1" errorTitle="Erro de valores" error="Digite um valor igual a 0% ou 2%." sqref="J21">
      <formula1>0</formula1>
      <formula2>0</formula2>
    </dataValidation>
    <dataValidation type="decimal" allowBlank="1" showErrorMessage="1" errorTitle="Erro de valores" error="Digite um valor maior do que 0." sqref="J20">
      <formula1>0</formula1>
      <formula2>1</formula2>
    </dataValidation>
    <dataValidation type="decimal" allowBlank="1" showErrorMessage="1" errorTitle="Erro de valores" error="Digite um valor entre 0% e 100%" sqref="J14:J19">
      <formula1>0</formula1>
      <formula2>1</formula2>
    </dataValidation>
    <dataValidation type="decimal" allowBlank="1" showInputMessage="1" showErrorMessage="1" errorTitle="Valor não permitido" error="Digite um percentual entre 0% e 100%." promptTitle="Valores admissíveis:" prompt="Insira valores entre 0 e 100%." sqref="I6:J6">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7:J7">
      <formula1>0</formula1>
      <formula2>0</formula2>
    </dataValidation>
  </dataValidations>
  <printOptions horizontalCentered="1" verticalCentered="1"/>
  <pageMargins left="0.51181102362204722" right="0.51181102362204722" top="0.59055118110236227" bottom="0.59055118110236227" header="0.31496062992125984" footer="0.31496062992125984"/>
  <pageSetup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81"/>
  <sheetViews>
    <sheetView showWhiteSpace="0" topLeftCell="A22" workbookViewId="0">
      <selection activeCell="K34" sqref="K34"/>
    </sheetView>
  </sheetViews>
  <sheetFormatPr defaultRowHeight="14.25" x14ac:dyDescent="0.2"/>
  <cols>
    <col min="1" max="1" width="13" bestFit="1" customWidth="1"/>
    <col min="2" max="2" width="15.75" customWidth="1"/>
    <col min="3" max="3" width="15" bestFit="1" customWidth="1"/>
    <col min="4" max="4" width="60" bestFit="1" customWidth="1"/>
    <col min="5" max="5" width="8" bestFit="1" customWidth="1"/>
    <col min="6" max="11" width="13" bestFit="1" customWidth="1"/>
  </cols>
  <sheetData>
    <row r="1" spans="1:10" ht="75.75" customHeight="1" thickBot="1" x14ac:dyDescent="0.25">
      <c r="A1" s="186" t="s">
        <v>924</v>
      </c>
      <c r="B1" s="187"/>
      <c r="C1" s="187"/>
      <c r="D1" s="187"/>
      <c r="E1" s="187"/>
      <c r="F1" s="187"/>
      <c r="G1" s="187"/>
      <c r="H1" s="187"/>
      <c r="I1" s="187"/>
      <c r="J1" s="188"/>
    </row>
    <row r="2" spans="1:10" ht="22.5" thickTop="1" thickBot="1" x14ac:dyDescent="0.25">
      <c r="A2" s="189" t="s">
        <v>925</v>
      </c>
      <c r="B2" s="190"/>
      <c r="C2" s="190"/>
      <c r="D2" s="190"/>
      <c r="E2" s="191"/>
      <c r="F2" s="2" t="s">
        <v>926</v>
      </c>
      <c r="G2" s="3"/>
      <c r="H2" s="4" t="s">
        <v>927</v>
      </c>
      <c r="I2" s="192"/>
      <c r="J2" s="192"/>
    </row>
    <row r="3" spans="1:10" ht="30.75" thickBot="1" x14ac:dyDescent="0.25">
      <c r="A3" s="5" t="s">
        <v>928</v>
      </c>
      <c r="B3" s="193" t="s">
        <v>929</v>
      </c>
      <c r="C3" s="194"/>
      <c r="D3" s="194"/>
      <c r="E3" s="194"/>
      <c r="F3" s="194"/>
      <c r="G3" s="195"/>
      <c r="H3" s="6" t="s">
        <v>930</v>
      </c>
      <c r="I3" s="196">
        <v>46119</v>
      </c>
      <c r="J3" s="196"/>
    </row>
    <row r="4" spans="1:10" ht="15.75" thickBot="1" x14ac:dyDescent="0.25">
      <c r="A4" s="5" t="s">
        <v>931</v>
      </c>
      <c r="B4" s="193" t="s">
        <v>949</v>
      </c>
      <c r="C4" s="194"/>
      <c r="D4" s="194"/>
      <c r="E4" s="194"/>
      <c r="F4" s="194"/>
      <c r="G4" s="195"/>
      <c r="H4" s="5" t="s">
        <v>932</v>
      </c>
      <c r="I4" s="197"/>
      <c r="J4" s="197"/>
    </row>
    <row r="5" spans="1:10" ht="15.75" thickBot="1" x14ac:dyDescent="0.25">
      <c r="A5" s="5" t="s">
        <v>933</v>
      </c>
      <c r="B5" s="198" t="s">
        <v>950</v>
      </c>
      <c r="C5" s="198"/>
      <c r="D5" s="198"/>
      <c r="E5" s="198"/>
      <c r="F5" s="198"/>
      <c r="G5" s="199"/>
      <c r="H5" s="5"/>
      <c r="I5" s="197"/>
      <c r="J5" s="197"/>
    </row>
    <row r="6" spans="1:10" ht="30.75" thickBot="1" x14ac:dyDescent="0.25">
      <c r="A6" s="5" t="s">
        <v>934</v>
      </c>
      <c r="B6" s="7" t="s">
        <v>935</v>
      </c>
      <c r="C6" s="8" t="s">
        <v>936</v>
      </c>
      <c r="D6" s="200" t="s">
        <v>937</v>
      </c>
      <c r="E6" s="201"/>
      <c r="F6" s="9" t="s">
        <v>938</v>
      </c>
      <c r="G6" s="10" t="s">
        <v>939</v>
      </c>
      <c r="H6" s="5" t="s">
        <v>940</v>
      </c>
      <c r="I6" s="202" t="s">
        <v>941</v>
      </c>
      <c r="J6" s="202"/>
    </row>
    <row r="7" spans="1:10" ht="15" x14ac:dyDescent="0.2">
      <c r="A7" s="203" t="s">
        <v>942</v>
      </c>
      <c r="B7" s="205" t="s">
        <v>960</v>
      </c>
      <c r="C7" s="11" t="s">
        <v>943</v>
      </c>
      <c r="D7" s="12" t="s">
        <v>944</v>
      </c>
      <c r="E7" s="13"/>
      <c r="F7" s="207" t="s">
        <v>945</v>
      </c>
      <c r="G7" s="172">
        <v>0.26740000000000003</v>
      </c>
      <c r="H7" s="174" t="s">
        <v>946</v>
      </c>
      <c r="I7" s="176"/>
      <c r="J7" s="177"/>
    </row>
    <row r="8" spans="1:10" ht="156.75" customHeight="1" thickBot="1" x14ac:dyDescent="0.25">
      <c r="A8" s="204"/>
      <c r="B8" s="206"/>
      <c r="C8" s="14" t="s">
        <v>947</v>
      </c>
      <c r="D8" s="15" t="s">
        <v>948</v>
      </c>
      <c r="E8" s="16"/>
      <c r="F8" s="208"/>
      <c r="G8" s="173"/>
      <c r="H8" s="175"/>
      <c r="I8" s="178"/>
      <c r="J8" s="179"/>
    </row>
    <row r="9" spans="1:10" x14ac:dyDescent="0.2">
      <c r="G9" s="24"/>
      <c r="H9" s="26"/>
      <c r="I9" s="27"/>
      <c r="J9" s="24"/>
    </row>
    <row r="10" spans="1:10" ht="30" customHeight="1" thickBot="1" x14ac:dyDescent="0.25">
      <c r="A10" s="1"/>
      <c r="B10" s="1"/>
      <c r="C10" s="1"/>
      <c r="D10" s="1"/>
      <c r="E10" s="1"/>
      <c r="F10" s="1"/>
      <c r="G10" s="25"/>
      <c r="H10" s="182" t="s">
        <v>0</v>
      </c>
      <c r="I10" s="183"/>
      <c r="J10" s="28">
        <f>I13 + I22 + I128 + I358</f>
        <v>1881017.4500000002</v>
      </c>
    </row>
    <row r="11" spans="1:10" ht="20.100000000000001" customHeight="1" thickBot="1" x14ac:dyDescent="0.25">
      <c r="A11" s="1"/>
      <c r="B11" s="1"/>
      <c r="C11" s="1"/>
      <c r="D11" s="1"/>
      <c r="E11" s="1"/>
      <c r="F11" s="1"/>
      <c r="G11" s="29"/>
      <c r="H11" s="184" t="s">
        <v>1</v>
      </c>
      <c r="I11" s="185"/>
      <c r="J11" s="30">
        <v>0.26740000000000003</v>
      </c>
    </row>
    <row r="12" spans="1:10" ht="30" customHeight="1" x14ac:dyDescent="0.2">
      <c r="A12" s="31" t="s">
        <v>2</v>
      </c>
      <c r="B12" s="32" t="s">
        <v>3</v>
      </c>
      <c r="C12" s="33" t="s">
        <v>4</v>
      </c>
      <c r="D12" s="33" t="s">
        <v>5</v>
      </c>
      <c r="E12" s="34" t="s">
        <v>6</v>
      </c>
      <c r="F12" s="32" t="s">
        <v>7</v>
      </c>
      <c r="G12" s="32" t="s">
        <v>8</v>
      </c>
      <c r="H12" s="32" t="s">
        <v>9</v>
      </c>
      <c r="I12" s="32" t="s">
        <v>10</v>
      </c>
      <c r="J12" s="35" t="s">
        <v>11</v>
      </c>
    </row>
    <row r="13" spans="1:10" ht="24" customHeight="1" x14ac:dyDescent="0.2">
      <c r="A13" s="36" t="s">
        <v>12</v>
      </c>
      <c r="B13" s="17" t="s">
        <v>13</v>
      </c>
      <c r="C13" s="17"/>
      <c r="D13" s="17" t="s">
        <v>14</v>
      </c>
      <c r="E13" s="18"/>
      <c r="F13" s="19">
        <v>1</v>
      </c>
      <c r="G13" s="19" t="s">
        <v>15</v>
      </c>
      <c r="H13" s="20">
        <f>I14 + I15 + I16 + I17 + I18 + I19 + I20 + I21</f>
        <v>18231.05</v>
      </c>
      <c r="I13" s="20">
        <f t="shared" ref="I13:I76" si="0">ROUND(F13 * H13,2)</f>
        <v>18231.05</v>
      </c>
      <c r="J13" s="37">
        <f>I13 / J10</f>
        <v>9.6921216759578693E-3</v>
      </c>
    </row>
    <row r="14" spans="1:10" ht="78" customHeight="1" x14ac:dyDescent="0.2">
      <c r="A14" s="38" t="s">
        <v>16</v>
      </c>
      <c r="B14" s="21" t="s">
        <v>17</v>
      </c>
      <c r="C14" s="21" t="s">
        <v>18</v>
      </c>
      <c r="D14" s="21" t="s">
        <v>19</v>
      </c>
      <c r="E14" s="22" t="s">
        <v>20</v>
      </c>
      <c r="F14" s="80">
        <v>4.5</v>
      </c>
      <c r="G14" s="23">
        <v>232.99</v>
      </c>
      <c r="H14" s="23">
        <f>ROUND(ROUND(G14 * J11, 2) + G14, 2)</f>
        <v>295.29000000000002</v>
      </c>
      <c r="I14" s="23">
        <f t="shared" si="0"/>
        <v>1328.81</v>
      </c>
      <c r="J14" s="39">
        <f>I14 / J10</f>
        <v>7.0643151130788274E-4</v>
      </c>
    </row>
    <row r="15" spans="1:10" ht="24" customHeight="1" x14ac:dyDescent="0.2">
      <c r="A15" s="38" t="s">
        <v>21</v>
      </c>
      <c r="B15" s="21" t="s">
        <v>22</v>
      </c>
      <c r="C15" s="21" t="s">
        <v>23</v>
      </c>
      <c r="D15" s="21" t="s">
        <v>24</v>
      </c>
      <c r="E15" s="22" t="s">
        <v>20</v>
      </c>
      <c r="F15" s="80">
        <v>268.67</v>
      </c>
      <c r="G15" s="23">
        <v>7.14</v>
      </c>
      <c r="H15" s="23">
        <f>ROUND(ROUND(G15 * J11, 2) + G15, 2)</f>
        <v>9.0500000000000007</v>
      </c>
      <c r="I15" s="23">
        <f t="shared" si="0"/>
        <v>2431.46</v>
      </c>
      <c r="J15" s="39">
        <f>I15 / J10</f>
        <v>1.2926302198844565E-3</v>
      </c>
    </row>
    <row r="16" spans="1:10" ht="39" customHeight="1" x14ac:dyDescent="0.2">
      <c r="A16" s="38" t="s">
        <v>25</v>
      </c>
      <c r="B16" s="21" t="s">
        <v>26</v>
      </c>
      <c r="C16" s="21" t="s">
        <v>27</v>
      </c>
      <c r="D16" s="21" t="s">
        <v>28</v>
      </c>
      <c r="E16" s="22" t="s">
        <v>20</v>
      </c>
      <c r="F16" s="80">
        <v>552.37</v>
      </c>
      <c r="G16" s="23">
        <v>0.73</v>
      </c>
      <c r="H16" s="23">
        <f>ROUND(ROUND(G16 * J11, 2) + G16, 2)</f>
        <v>0.93</v>
      </c>
      <c r="I16" s="23">
        <f t="shared" si="0"/>
        <v>513.70000000000005</v>
      </c>
      <c r="J16" s="39">
        <f>I16 / J10</f>
        <v>2.7309688169027885E-4</v>
      </c>
    </row>
    <row r="17" spans="1:10" ht="90.95" customHeight="1" x14ac:dyDescent="0.2">
      <c r="A17" s="38" t="s">
        <v>29</v>
      </c>
      <c r="B17" s="21" t="s">
        <v>30</v>
      </c>
      <c r="C17" s="21" t="s">
        <v>18</v>
      </c>
      <c r="D17" s="21" t="s">
        <v>31</v>
      </c>
      <c r="E17" s="22" t="s">
        <v>32</v>
      </c>
      <c r="F17" s="80">
        <v>8</v>
      </c>
      <c r="G17" s="23">
        <v>858.58</v>
      </c>
      <c r="H17" s="23">
        <f>ROUND(ROUND(G17 * J11, 2) + G17, 2)</f>
        <v>1088.1600000000001</v>
      </c>
      <c r="I17" s="23">
        <f t="shared" si="0"/>
        <v>8705.2800000000007</v>
      </c>
      <c r="J17" s="39">
        <f>I17 / J10</f>
        <v>4.6279634460594712E-3</v>
      </c>
    </row>
    <row r="18" spans="1:10" ht="26.1" customHeight="1" x14ac:dyDescent="0.2">
      <c r="A18" s="38" t="s">
        <v>33</v>
      </c>
      <c r="B18" s="21" t="s">
        <v>34</v>
      </c>
      <c r="C18" s="21" t="s">
        <v>18</v>
      </c>
      <c r="D18" s="21" t="s">
        <v>35</v>
      </c>
      <c r="E18" s="22" t="s">
        <v>36</v>
      </c>
      <c r="F18" s="80">
        <v>10</v>
      </c>
      <c r="G18" s="23">
        <v>60</v>
      </c>
      <c r="H18" s="23">
        <f>ROUND(ROUND(G18 * J11, 2) + G18, 2)</f>
        <v>76.040000000000006</v>
      </c>
      <c r="I18" s="23">
        <f t="shared" si="0"/>
        <v>760.4</v>
      </c>
      <c r="J18" s="39">
        <f>I18 / J10</f>
        <v>4.0424930667176955E-4</v>
      </c>
    </row>
    <row r="19" spans="1:10" ht="26.1" customHeight="1" x14ac:dyDescent="0.2">
      <c r="A19" s="38" t="s">
        <v>37</v>
      </c>
      <c r="B19" s="21" t="s">
        <v>38</v>
      </c>
      <c r="C19" s="21" t="s">
        <v>18</v>
      </c>
      <c r="D19" s="21" t="s">
        <v>39</v>
      </c>
      <c r="E19" s="22" t="s">
        <v>36</v>
      </c>
      <c r="F19" s="80">
        <v>10</v>
      </c>
      <c r="G19" s="23">
        <v>47.18</v>
      </c>
      <c r="H19" s="23">
        <f>ROUND(ROUND(G19 * J11, 2) + G19, 2)</f>
        <v>59.8</v>
      </c>
      <c r="I19" s="23">
        <f t="shared" si="0"/>
        <v>598</v>
      </c>
      <c r="J19" s="39">
        <f>I19 / J10</f>
        <v>3.1791305285339057E-4</v>
      </c>
    </row>
    <row r="20" spans="1:10" ht="39" customHeight="1" x14ac:dyDescent="0.2">
      <c r="A20" s="38" t="s">
        <v>40</v>
      </c>
      <c r="B20" s="21" t="s">
        <v>41</v>
      </c>
      <c r="C20" s="21" t="s">
        <v>18</v>
      </c>
      <c r="D20" s="21" t="s">
        <v>42</v>
      </c>
      <c r="E20" s="22" t="s">
        <v>43</v>
      </c>
      <c r="F20" s="80">
        <v>70</v>
      </c>
      <c r="G20" s="23">
        <v>21.13</v>
      </c>
      <c r="H20" s="23">
        <f>ROUND(ROUND(G20 * J11, 2) + G20, 2)</f>
        <v>26.78</v>
      </c>
      <c r="I20" s="23">
        <f t="shared" si="0"/>
        <v>1874.6</v>
      </c>
      <c r="J20" s="39">
        <f>I20 / J10</f>
        <v>9.9658830916215038E-4</v>
      </c>
    </row>
    <row r="21" spans="1:10" ht="26.1" customHeight="1" x14ac:dyDescent="0.2">
      <c r="A21" s="38" t="s">
        <v>44</v>
      </c>
      <c r="B21" s="21" t="s">
        <v>45</v>
      </c>
      <c r="C21" s="21" t="s">
        <v>18</v>
      </c>
      <c r="D21" s="21" t="s">
        <v>46</v>
      </c>
      <c r="E21" s="22" t="s">
        <v>47</v>
      </c>
      <c r="F21" s="80">
        <v>140</v>
      </c>
      <c r="G21" s="23">
        <v>11.38</v>
      </c>
      <c r="H21" s="23">
        <f>ROUND(ROUND(G21 * J11, 2) + G21, 2)</f>
        <v>14.42</v>
      </c>
      <c r="I21" s="23">
        <f t="shared" si="0"/>
        <v>2018.8</v>
      </c>
      <c r="J21" s="39">
        <f>I21 / J10</f>
        <v>1.0732489483284697E-3</v>
      </c>
    </row>
    <row r="22" spans="1:10" ht="24" customHeight="1" x14ac:dyDescent="0.2">
      <c r="A22" s="36" t="s">
        <v>48</v>
      </c>
      <c r="B22" s="17" t="s">
        <v>13</v>
      </c>
      <c r="C22" s="17"/>
      <c r="D22" s="17" t="s">
        <v>49</v>
      </c>
      <c r="E22" s="18"/>
      <c r="F22" s="19">
        <v>1</v>
      </c>
      <c r="G22" s="19" t="s">
        <v>15</v>
      </c>
      <c r="H22" s="20">
        <f>I23 + I27 + I38 + I53 + I59 + I67 + I74 + I77 + I86 + I97 + I117 + I124</f>
        <v>1046618.6900000001</v>
      </c>
      <c r="I22" s="20">
        <f t="shared" si="0"/>
        <v>1046618.69</v>
      </c>
      <c r="J22" s="37">
        <f>I22 / J10</f>
        <v>0.55641094132327151</v>
      </c>
    </row>
    <row r="23" spans="1:10" ht="24" customHeight="1" x14ac:dyDescent="0.2">
      <c r="A23" s="74" t="s">
        <v>50</v>
      </c>
      <c r="B23" s="75" t="s">
        <v>13</v>
      </c>
      <c r="C23" s="75"/>
      <c r="D23" s="75" t="s">
        <v>51</v>
      </c>
      <c r="E23" s="76"/>
      <c r="F23" s="77">
        <v>1</v>
      </c>
      <c r="G23" s="77" t="s">
        <v>15</v>
      </c>
      <c r="H23" s="78">
        <f>I24 + I25 + I26</f>
        <v>3206.28</v>
      </c>
      <c r="I23" s="78">
        <f t="shared" si="0"/>
        <v>3206.28</v>
      </c>
      <c r="J23" s="79">
        <f>I23 / J10</f>
        <v>1.7045455904728581E-3</v>
      </c>
    </row>
    <row r="24" spans="1:10" ht="39" customHeight="1" x14ac:dyDescent="0.2">
      <c r="A24" s="38" t="s">
        <v>52</v>
      </c>
      <c r="B24" s="21" t="s">
        <v>53</v>
      </c>
      <c r="C24" s="21" t="s">
        <v>27</v>
      </c>
      <c r="D24" s="21" t="s">
        <v>54</v>
      </c>
      <c r="E24" s="22" t="s">
        <v>36</v>
      </c>
      <c r="F24" s="81">
        <v>33.130000000000003</v>
      </c>
      <c r="G24" s="23">
        <v>57.93</v>
      </c>
      <c r="H24" s="23">
        <f>ROUND(ROUND(G24 * J11, 2) + G24, 2)</f>
        <v>73.42</v>
      </c>
      <c r="I24" s="23">
        <f t="shared" si="0"/>
        <v>2432.4</v>
      </c>
      <c r="J24" s="39">
        <f>I24 / J10</f>
        <v>1.2931299494324201E-3</v>
      </c>
    </row>
    <row r="25" spans="1:10" ht="26.1" customHeight="1" x14ac:dyDescent="0.2">
      <c r="A25" s="38" t="s">
        <v>55</v>
      </c>
      <c r="B25" s="21" t="s">
        <v>56</v>
      </c>
      <c r="C25" s="21" t="s">
        <v>18</v>
      </c>
      <c r="D25" s="21" t="s">
        <v>57</v>
      </c>
      <c r="E25" s="22" t="s">
        <v>20</v>
      </c>
      <c r="F25" s="81">
        <v>22.08</v>
      </c>
      <c r="G25" s="23">
        <v>15.19</v>
      </c>
      <c r="H25" s="23">
        <f>ROUND(ROUND(G25 * J11, 2) + G25, 2)</f>
        <v>19.25</v>
      </c>
      <c r="I25" s="23">
        <f t="shared" si="0"/>
        <v>425.04</v>
      </c>
      <c r="J25" s="39">
        <f>I25 / J10</f>
        <v>2.2596281602810223E-4</v>
      </c>
    </row>
    <row r="26" spans="1:10" ht="65.099999999999994" customHeight="1" x14ac:dyDescent="0.2">
      <c r="A26" s="38" t="s">
        <v>58</v>
      </c>
      <c r="B26" s="21" t="s">
        <v>59</v>
      </c>
      <c r="C26" s="21" t="s">
        <v>27</v>
      </c>
      <c r="D26" s="21" t="s">
        <v>60</v>
      </c>
      <c r="E26" s="22" t="s">
        <v>36</v>
      </c>
      <c r="F26" s="81">
        <v>19.22</v>
      </c>
      <c r="G26" s="23">
        <v>14.32</v>
      </c>
      <c r="H26" s="23">
        <f>ROUND(ROUND(G26 * J11, 2) + G26, 2)</f>
        <v>18.149999999999999</v>
      </c>
      <c r="I26" s="23">
        <f t="shared" si="0"/>
        <v>348.84</v>
      </c>
      <c r="J26" s="39">
        <f>I26 / J10</f>
        <v>1.8545282501233572E-4</v>
      </c>
    </row>
    <row r="27" spans="1:10" ht="24" customHeight="1" x14ac:dyDescent="0.2">
      <c r="A27" s="74" t="s">
        <v>61</v>
      </c>
      <c r="B27" s="75" t="s">
        <v>13</v>
      </c>
      <c r="C27" s="75"/>
      <c r="D27" s="75" t="s">
        <v>62</v>
      </c>
      <c r="E27" s="76"/>
      <c r="F27" s="77">
        <v>1</v>
      </c>
      <c r="G27" s="77" t="s">
        <v>15</v>
      </c>
      <c r="H27" s="78">
        <f>I28</f>
        <v>47261.02</v>
      </c>
      <c r="I27" s="78">
        <f t="shared" si="0"/>
        <v>47261.02</v>
      </c>
      <c r="J27" s="79">
        <f>I27 / J10</f>
        <v>2.5125242724356435E-2</v>
      </c>
    </row>
    <row r="28" spans="1:10" ht="24" customHeight="1" x14ac:dyDescent="0.2">
      <c r="A28" s="74" t="s">
        <v>63</v>
      </c>
      <c r="B28" s="75" t="s">
        <v>13</v>
      </c>
      <c r="C28" s="75"/>
      <c r="D28" s="75" t="s">
        <v>64</v>
      </c>
      <c r="E28" s="76"/>
      <c r="F28" s="77">
        <v>1</v>
      </c>
      <c r="G28" s="77" t="s">
        <v>15</v>
      </c>
      <c r="H28" s="78">
        <f>I29 + I30 + I31 + I32 + I33 + I34 + I35 + I36 + I37</f>
        <v>47261.020000000004</v>
      </c>
      <c r="I28" s="78">
        <f t="shared" si="0"/>
        <v>47261.02</v>
      </c>
      <c r="J28" s="79">
        <f>I28 / J10</f>
        <v>2.5125242724356435E-2</v>
      </c>
    </row>
    <row r="29" spans="1:10" ht="51.95" customHeight="1" x14ac:dyDescent="0.2">
      <c r="A29" s="38" t="s">
        <v>65</v>
      </c>
      <c r="B29" s="21" t="s">
        <v>66</v>
      </c>
      <c r="C29" s="21" t="s">
        <v>27</v>
      </c>
      <c r="D29" s="21" t="s">
        <v>67</v>
      </c>
      <c r="E29" s="22" t="s">
        <v>68</v>
      </c>
      <c r="F29" s="80">
        <v>220</v>
      </c>
      <c r="G29" s="23">
        <v>63.68</v>
      </c>
      <c r="H29" s="23">
        <f>ROUND(ROUND(G29 * J11, 2) + G29, 2)</f>
        <v>80.709999999999994</v>
      </c>
      <c r="I29" s="23">
        <f t="shared" si="0"/>
        <v>17756.2</v>
      </c>
      <c r="J29" s="39">
        <f>I29 / J10</f>
        <v>9.4396785101594875E-3</v>
      </c>
    </row>
    <row r="30" spans="1:10" ht="39" customHeight="1" x14ac:dyDescent="0.2">
      <c r="A30" s="38" t="s">
        <v>69</v>
      </c>
      <c r="B30" s="21" t="s">
        <v>70</v>
      </c>
      <c r="C30" s="21" t="s">
        <v>27</v>
      </c>
      <c r="D30" s="21" t="s">
        <v>71</v>
      </c>
      <c r="E30" s="22" t="s">
        <v>20</v>
      </c>
      <c r="F30" s="80">
        <v>22.08</v>
      </c>
      <c r="G30" s="23">
        <v>46.56</v>
      </c>
      <c r="H30" s="23">
        <f>ROUND(ROUND(G30 * J11, 2) + G30, 2)</f>
        <v>59.01</v>
      </c>
      <c r="I30" s="23">
        <f t="shared" si="0"/>
        <v>1302.94</v>
      </c>
      <c r="J30" s="39">
        <f>I30 / J10</f>
        <v>6.9267831619531219E-4</v>
      </c>
    </row>
    <row r="31" spans="1:10" ht="39" customHeight="1" x14ac:dyDescent="0.2">
      <c r="A31" s="38" t="s">
        <v>72</v>
      </c>
      <c r="B31" s="21" t="s">
        <v>73</v>
      </c>
      <c r="C31" s="21" t="s">
        <v>18</v>
      </c>
      <c r="D31" s="21" t="s">
        <v>74</v>
      </c>
      <c r="E31" s="22" t="s">
        <v>20</v>
      </c>
      <c r="F31" s="80">
        <v>63</v>
      </c>
      <c r="G31" s="23">
        <v>73.319999999999993</v>
      </c>
      <c r="H31" s="23">
        <f>ROUND(ROUND(G31 * J11, 2) + G31, 2)</f>
        <v>92.93</v>
      </c>
      <c r="I31" s="23">
        <f t="shared" si="0"/>
        <v>5854.59</v>
      </c>
      <c r="J31" s="39">
        <f>I31 / J10</f>
        <v>3.11245916405507E-3</v>
      </c>
    </row>
    <row r="32" spans="1:10" ht="26.1" customHeight="1" x14ac:dyDescent="0.2">
      <c r="A32" s="38" t="s">
        <v>75</v>
      </c>
      <c r="B32" s="21" t="s">
        <v>76</v>
      </c>
      <c r="C32" s="21" t="s">
        <v>18</v>
      </c>
      <c r="D32" s="21" t="s">
        <v>77</v>
      </c>
      <c r="E32" s="22" t="s">
        <v>78</v>
      </c>
      <c r="F32" s="80">
        <v>38.42</v>
      </c>
      <c r="G32" s="23">
        <v>13.67</v>
      </c>
      <c r="H32" s="23">
        <f>ROUND(ROUND(G32 * J11, 2) + G32, 2)</f>
        <v>17.329999999999998</v>
      </c>
      <c r="I32" s="23">
        <f t="shared" si="0"/>
        <v>665.82</v>
      </c>
      <c r="J32" s="39">
        <f>I32 / J10</f>
        <v>3.5396800811178015E-4</v>
      </c>
    </row>
    <row r="33" spans="1:10" ht="26.1" customHeight="1" x14ac:dyDescent="0.2">
      <c r="A33" s="38" t="s">
        <v>79</v>
      </c>
      <c r="B33" s="21" t="s">
        <v>80</v>
      </c>
      <c r="C33" s="21" t="s">
        <v>18</v>
      </c>
      <c r="D33" s="21" t="s">
        <v>81</v>
      </c>
      <c r="E33" s="22" t="s">
        <v>78</v>
      </c>
      <c r="F33" s="80">
        <v>61.94</v>
      </c>
      <c r="G33" s="23">
        <v>14.02</v>
      </c>
      <c r="H33" s="23">
        <f>ROUND(ROUND(G33 * J11, 2) + G33, 2)</f>
        <v>17.77</v>
      </c>
      <c r="I33" s="23">
        <f t="shared" si="0"/>
        <v>1100.67</v>
      </c>
      <c r="J33" s="39">
        <f>I33 / J10</f>
        <v>5.8514608676277832E-4</v>
      </c>
    </row>
    <row r="34" spans="1:10" ht="26.1" customHeight="1" x14ac:dyDescent="0.2">
      <c r="A34" s="38" t="s">
        <v>82</v>
      </c>
      <c r="B34" s="21" t="s">
        <v>83</v>
      </c>
      <c r="C34" s="21" t="s">
        <v>18</v>
      </c>
      <c r="D34" s="21" t="s">
        <v>84</v>
      </c>
      <c r="E34" s="22" t="s">
        <v>78</v>
      </c>
      <c r="F34" s="80">
        <v>338.1</v>
      </c>
      <c r="G34" s="23">
        <v>13.6</v>
      </c>
      <c r="H34" s="23">
        <f>ROUND(ROUND(G34 * J11, 2) + G34, 2)</f>
        <v>17.239999999999998</v>
      </c>
      <c r="I34" s="23">
        <f t="shared" si="0"/>
        <v>5828.84</v>
      </c>
      <c r="J34" s="39">
        <f>I34 / J10</f>
        <v>3.0987697642039418E-3</v>
      </c>
    </row>
    <row r="35" spans="1:10" ht="26.1" customHeight="1" x14ac:dyDescent="0.2">
      <c r="A35" s="38" t="s">
        <v>85</v>
      </c>
      <c r="B35" s="21" t="s">
        <v>86</v>
      </c>
      <c r="C35" s="21" t="s">
        <v>18</v>
      </c>
      <c r="D35" s="21" t="s">
        <v>87</v>
      </c>
      <c r="E35" s="22" t="s">
        <v>78</v>
      </c>
      <c r="F35" s="80">
        <v>94.86</v>
      </c>
      <c r="G35" s="23">
        <v>13.07</v>
      </c>
      <c r="H35" s="23">
        <f>ROUND(ROUND(G35 * J11, 2) + G35, 2)</f>
        <v>16.559999999999999</v>
      </c>
      <c r="I35" s="23">
        <f t="shared" si="0"/>
        <v>1570.88</v>
      </c>
      <c r="J35" s="39">
        <f>I35 / J10</f>
        <v>8.3512250245206389E-4</v>
      </c>
    </row>
    <row r="36" spans="1:10" ht="26.1" customHeight="1" x14ac:dyDescent="0.2">
      <c r="A36" s="38" t="s">
        <v>88</v>
      </c>
      <c r="B36" s="21" t="s">
        <v>89</v>
      </c>
      <c r="C36" s="21" t="s">
        <v>18</v>
      </c>
      <c r="D36" s="21" t="s">
        <v>90</v>
      </c>
      <c r="E36" s="22" t="s">
        <v>78</v>
      </c>
      <c r="F36" s="80">
        <v>28.33</v>
      </c>
      <c r="G36" s="23">
        <v>14.36</v>
      </c>
      <c r="H36" s="23">
        <f>ROUND(ROUND(G36 * J11, 2) + G36, 2)</f>
        <v>18.2</v>
      </c>
      <c r="I36" s="23">
        <f t="shared" si="0"/>
        <v>515.61</v>
      </c>
      <c r="J36" s="39">
        <f>I36 / J10</f>
        <v>2.7411228960156644E-4</v>
      </c>
    </row>
    <row r="37" spans="1:10" ht="39" customHeight="1" x14ac:dyDescent="0.2">
      <c r="A37" s="38" t="s">
        <v>91</v>
      </c>
      <c r="B37" s="21" t="s">
        <v>92</v>
      </c>
      <c r="C37" s="21" t="s">
        <v>18</v>
      </c>
      <c r="D37" s="21" t="s">
        <v>93</v>
      </c>
      <c r="E37" s="22" t="s">
        <v>36</v>
      </c>
      <c r="F37" s="80">
        <v>13.91</v>
      </c>
      <c r="G37" s="23">
        <v>718.42</v>
      </c>
      <c r="H37" s="23">
        <f>ROUND(ROUND(G37 * J11, 2) + G37, 2)</f>
        <v>910.53</v>
      </c>
      <c r="I37" s="23">
        <f t="shared" si="0"/>
        <v>12665.47</v>
      </c>
      <c r="J37" s="39">
        <f>I37 / J10</f>
        <v>6.7333080828144353E-3</v>
      </c>
    </row>
    <row r="38" spans="1:10" ht="24" customHeight="1" x14ac:dyDescent="0.2">
      <c r="A38" s="74" t="s">
        <v>94</v>
      </c>
      <c r="B38" s="75" t="s">
        <v>13</v>
      </c>
      <c r="C38" s="75"/>
      <c r="D38" s="75" t="s">
        <v>95</v>
      </c>
      <c r="E38" s="76"/>
      <c r="F38" s="77">
        <v>1</v>
      </c>
      <c r="G38" s="77" t="s">
        <v>15</v>
      </c>
      <c r="H38" s="78">
        <f>I39 + I46 + I51</f>
        <v>524138.36</v>
      </c>
      <c r="I38" s="78">
        <f t="shared" si="0"/>
        <v>524138.36</v>
      </c>
      <c r="J38" s="79">
        <f>I38 / J10</f>
        <v>0.27864619756717296</v>
      </c>
    </row>
    <row r="39" spans="1:10" ht="24" customHeight="1" x14ac:dyDescent="0.2">
      <c r="A39" s="74" t="s">
        <v>96</v>
      </c>
      <c r="B39" s="75" t="s">
        <v>13</v>
      </c>
      <c r="C39" s="75"/>
      <c r="D39" s="75" t="s">
        <v>97</v>
      </c>
      <c r="E39" s="76"/>
      <c r="F39" s="77">
        <v>1</v>
      </c>
      <c r="G39" s="77" t="s">
        <v>15</v>
      </c>
      <c r="H39" s="78">
        <f>I40 + I41 + I42 + I43 + I44 + I45</f>
        <v>41089.21</v>
      </c>
      <c r="I39" s="78">
        <f t="shared" si="0"/>
        <v>41089.21</v>
      </c>
      <c r="J39" s="79">
        <f>I39 / J10</f>
        <v>2.1844140786679036E-2</v>
      </c>
    </row>
    <row r="40" spans="1:10" ht="39" customHeight="1" x14ac:dyDescent="0.2">
      <c r="A40" s="38" t="s">
        <v>98</v>
      </c>
      <c r="B40" s="21" t="s">
        <v>99</v>
      </c>
      <c r="C40" s="21" t="s">
        <v>18</v>
      </c>
      <c r="D40" s="21" t="s">
        <v>100</v>
      </c>
      <c r="E40" s="22" t="s">
        <v>20</v>
      </c>
      <c r="F40" s="80">
        <v>138.13</v>
      </c>
      <c r="G40" s="23">
        <v>58.06</v>
      </c>
      <c r="H40" s="23">
        <f>ROUND(ROUND(G40 * J11, 2) + G40, 2)</f>
        <v>73.59</v>
      </c>
      <c r="I40" s="23">
        <f t="shared" si="0"/>
        <v>10164.99</v>
      </c>
      <c r="J40" s="39">
        <f>I40 / J10</f>
        <v>5.4039849550571676E-3</v>
      </c>
    </row>
    <row r="41" spans="1:10" ht="26.1" customHeight="1" x14ac:dyDescent="0.2">
      <c r="A41" s="38" t="s">
        <v>101</v>
      </c>
      <c r="B41" s="21" t="s">
        <v>76</v>
      </c>
      <c r="C41" s="21" t="s">
        <v>18</v>
      </c>
      <c r="D41" s="21" t="s">
        <v>77</v>
      </c>
      <c r="E41" s="22" t="s">
        <v>78</v>
      </c>
      <c r="F41" s="80">
        <v>198.89</v>
      </c>
      <c r="G41" s="23">
        <v>13.67</v>
      </c>
      <c r="H41" s="23">
        <f>ROUND(ROUND(G41 * J11, 2) + G41, 2)</f>
        <v>17.329999999999998</v>
      </c>
      <c r="I41" s="23">
        <f t="shared" si="0"/>
        <v>3446.76</v>
      </c>
      <c r="J41" s="39">
        <f>I41 / J10</f>
        <v>1.8323912944029307E-3</v>
      </c>
    </row>
    <row r="42" spans="1:10" ht="26.1" customHeight="1" x14ac:dyDescent="0.2">
      <c r="A42" s="38" t="s">
        <v>102</v>
      </c>
      <c r="B42" s="21" t="s">
        <v>83</v>
      </c>
      <c r="C42" s="21" t="s">
        <v>18</v>
      </c>
      <c r="D42" s="21" t="s">
        <v>84</v>
      </c>
      <c r="E42" s="22" t="s">
        <v>78</v>
      </c>
      <c r="F42" s="80">
        <v>142.16</v>
      </c>
      <c r="G42" s="23">
        <v>13.6</v>
      </c>
      <c r="H42" s="23">
        <f>ROUND(ROUND(G42 * J11, 2) + G42, 2)</f>
        <v>17.239999999999998</v>
      </c>
      <c r="I42" s="23">
        <f t="shared" si="0"/>
        <v>2450.84</v>
      </c>
      <c r="J42" s="39">
        <f>I42 / J10</f>
        <v>1.3029331546073641E-3</v>
      </c>
    </row>
    <row r="43" spans="1:10" ht="26.1" customHeight="1" x14ac:dyDescent="0.2">
      <c r="A43" s="38" t="s">
        <v>103</v>
      </c>
      <c r="B43" s="21" t="s">
        <v>86</v>
      </c>
      <c r="C43" s="21" t="s">
        <v>18</v>
      </c>
      <c r="D43" s="21" t="s">
        <v>87</v>
      </c>
      <c r="E43" s="22" t="s">
        <v>78</v>
      </c>
      <c r="F43" s="80">
        <v>819.32</v>
      </c>
      <c r="G43" s="23">
        <v>13.07</v>
      </c>
      <c r="H43" s="23">
        <f>ROUND(ROUND(G43 * J11, 2) + G43, 2)</f>
        <v>16.559999999999999</v>
      </c>
      <c r="I43" s="23">
        <f t="shared" si="0"/>
        <v>13567.94</v>
      </c>
      <c r="J43" s="39">
        <f>I43 / J10</f>
        <v>7.2130856627619262E-3</v>
      </c>
    </row>
    <row r="44" spans="1:10" ht="26.1" customHeight="1" x14ac:dyDescent="0.2">
      <c r="A44" s="38" t="s">
        <v>104</v>
      </c>
      <c r="B44" s="21" t="s">
        <v>89</v>
      </c>
      <c r="C44" s="21" t="s">
        <v>18</v>
      </c>
      <c r="D44" s="21" t="s">
        <v>90</v>
      </c>
      <c r="E44" s="22" t="s">
        <v>78</v>
      </c>
      <c r="F44" s="80">
        <v>98.88</v>
      </c>
      <c r="G44" s="23">
        <v>14.36</v>
      </c>
      <c r="H44" s="23">
        <f>ROUND(ROUND(G44 * J11, 2) + G44, 2)</f>
        <v>18.2</v>
      </c>
      <c r="I44" s="23">
        <f t="shared" si="0"/>
        <v>1799.62</v>
      </c>
      <c r="J44" s="39">
        <f>I44 / J10</f>
        <v>9.5672690330437908E-4</v>
      </c>
    </row>
    <row r="45" spans="1:10" ht="39" customHeight="1" x14ac:dyDescent="0.2">
      <c r="A45" s="38" t="s">
        <v>105</v>
      </c>
      <c r="B45" s="21" t="s">
        <v>106</v>
      </c>
      <c r="C45" s="21" t="s">
        <v>18</v>
      </c>
      <c r="D45" s="21" t="s">
        <v>107</v>
      </c>
      <c r="E45" s="22" t="s">
        <v>36</v>
      </c>
      <c r="F45" s="80">
        <v>10.91</v>
      </c>
      <c r="G45" s="23">
        <v>698.55</v>
      </c>
      <c r="H45" s="23">
        <f>ROUND(ROUND(G45 * J11, 2) + G45, 2)</f>
        <v>885.34</v>
      </c>
      <c r="I45" s="23">
        <f t="shared" si="0"/>
        <v>9659.06</v>
      </c>
      <c r="J45" s="39">
        <f>I45 / J10</f>
        <v>5.1350188165452688E-3</v>
      </c>
    </row>
    <row r="46" spans="1:10" ht="24" customHeight="1" x14ac:dyDescent="0.2">
      <c r="A46" s="74" t="s">
        <v>108</v>
      </c>
      <c r="B46" s="75" t="s">
        <v>13</v>
      </c>
      <c r="C46" s="75"/>
      <c r="D46" s="75" t="s">
        <v>109</v>
      </c>
      <c r="E46" s="76"/>
      <c r="F46" s="77">
        <v>1</v>
      </c>
      <c r="G46" s="77" t="s">
        <v>15</v>
      </c>
      <c r="H46" s="78">
        <f>I47 + I48 + I49 + I50</f>
        <v>6722.1999999999989</v>
      </c>
      <c r="I46" s="78">
        <f t="shared" si="0"/>
        <v>6722.2</v>
      </c>
      <c r="J46" s="79">
        <f>I46 / J10</f>
        <v>3.5737042205536153E-3</v>
      </c>
    </row>
    <row r="47" spans="1:10" ht="39" customHeight="1" x14ac:dyDescent="0.2">
      <c r="A47" s="38" t="s">
        <v>110</v>
      </c>
      <c r="B47" s="21" t="s">
        <v>99</v>
      </c>
      <c r="C47" s="21" t="s">
        <v>18</v>
      </c>
      <c r="D47" s="21" t="s">
        <v>100</v>
      </c>
      <c r="E47" s="22" t="s">
        <v>20</v>
      </c>
      <c r="F47" s="81">
        <v>37.64</v>
      </c>
      <c r="G47" s="23">
        <v>58.06</v>
      </c>
      <c r="H47" s="23">
        <f>ROUND(ROUND(G47 * J11, 2) + G47, 2)</f>
        <v>73.59</v>
      </c>
      <c r="I47" s="23">
        <f t="shared" si="0"/>
        <v>2769.93</v>
      </c>
      <c r="J47" s="39">
        <f>I47 / J10</f>
        <v>1.4725700710538328E-3</v>
      </c>
    </row>
    <row r="48" spans="1:10" ht="26.1" customHeight="1" x14ac:dyDescent="0.2">
      <c r="A48" s="38" t="s">
        <v>111</v>
      </c>
      <c r="B48" s="21" t="s">
        <v>80</v>
      </c>
      <c r="C48" s="21" t="s">
        <v>18</v>
      </c>
      <c r="D48" s="21" t="s">
        <v>81</v>
      </c>
      <c r="E48" s="22" t="s">
        <v>78</v>
      </c>
      <c r="F48" s="81">
        <v>61.49</v>
      </c>
      <c r="G48" s="23">
        <v>14.02</v>
      </c>
      <c r="H48" s="23">
        <f>ROUND(ROUND(G48 * J11, 2) + G48, 2)</f>
        <v>17.77</v>
      </c>
      <c r="I48" s="23">
        <f t="shared" si="0"/>
        <v>1092.68</v>
      </c>
      <c r="J48" s="39">
        <f>I48 / J10</f>
        <v>5.8089838560508838E-4</v>
      </c>
    </row>
    <row r="49" spans="1:10" ht="26.1" customHeight="1" x14ac:dyDescent="0.2">
      <c r="A49" s="38" t="s">
        <v>112</v>
      </c>
      <c r="B49" s="21" t="s">
        <v>89</v>
      </c>
      <c r="C49" s="21" t="s">
        <v>18</v>
      </c>
      <c r="D49" s="21" t="s">
        <v>90</v>
      </c>
      <c r="E49" s="22" t="s">
        <v>78</v>
      </c>
      <c r="F49" s="81">
        <v>34.26</v>
      </c>
      <c r="G49" s="23">
        <v>14.36</v>
      </c>
      <c r="H49" s="23">
        <f>ROUND(ROUND(G49 * J11, 2) + G49, 2)</f>
        <v>18.2</v>
      </c>
      <c r="I49" s="23">
        <f t="shared" si="0"/>
        <v>623.53</v>
      </c>
      <c r="J49" s="39">
        <f>I49 / J10</f>
        <v>3.3148549472520835E-4</v>
      </c>
    </row>
    <row r="50" spans="1:10" ht="39" customHeight="1" x14ac:dyDescent="0.2">
      <c r="A50" s="38" t="s">
        <v>113</v>
      </c>
      <c r="B50" s="21" t="s">
        <v>114</v>
      </c>
      <c r="C50" s="21" t="s">
        <v>18</v>
      </c>
      <c r="D50" s="21" t="s">
        <v>115</v>
      </c>
      <c r="E50" s="22" t="s">
        <v>36</v>
      </c>
      <c r="F50" s="81">
        <v>2.39</v>
      </c>
      <c r="G50" s="23">
        <v>738.2</v>
      </c>
      <c r="H50" s="23">
        <f>ROUND(ROUND(G50 * J11, 2) + G50, 2)</f>
        <v>935.59</v>
      </c>
      <c r="I50" s="23">
        <f t="shared" si="0"/>
        <v>2236.06</v>
      </c>
      <c r="J50" s="39">
        <f>I50 / J10</f>
        <v>1.1887502691694857E-3</v>
      </c>
    </row>
    <row r="51" spans="1:10" ht="24" customHeight="1" x14ac:dyDescent="0.2">
      <c r="A51" s="74" t="s">
        <v>116</v>
      </c>
      <c r="B51" s="75" t="s">
        <v>13</v>
      </c>
      <c r="C51" s="75"/>
      <c r="D51" s="75" t="s">
        <v>117</v>
      </c>
      <c r="E51" s="76"/>
      <c r="F51" s="77">
        <v>1</v>
      </c>
      <c r="G51" s="77" t="s">
        <v>15</v>
      </c>
      <c r="H51" s="78">
        <f>I52</f>
        <v>476326.95</v>
      </c>
      <c r="I51" s="78">
        <f t="shared" si="0"/>
        <v>476326.95</v>
      </c>
      <c r="J51" s="79">
        <f>I51 / J10</f>
        <v>0.25322835255994036</v>
      </c>
    </row>
    <row r="52" spans="1:10" ht="26.1" customHeight="1" x14ac:dyDescent="0.2">
      <c r="A52" s="38" t="s">
        <v>118</v>
      </c>
      <c r="B52" s="21" t="s">
        <v>119</v>
      </c>
      <c r="C52" s="21" t="s">
        <v>120</v>
      </c>
      <c r="D52" s="21" t="s">
        <v>121</v>
      </c>
      <c r="E52" s="22" t="s">
        <v>78</v>
      </c>
      <c r="F52" s="81">
        <v>19971.78</v>
      </c>
      <c r="G52" s="23">
        <v>18.82</v>
      </c>
      <c r="H52" s="23">
        <f>ROUND(ROUND(G52 * J11, 2) + G52, 2)</f>
        <v>23.85</v>
      </c>
      <c r="I52" s="23">
        <f t="shared" si="0"/>
        <v>476326.95</v>
      </c>
      <c r="J52" s="39">
        <f>I52 / J10</f>
        <v>0.25322835255994036</v>
      </c>
    </row>
    <row r="53" spans="1:10" ht="24" customHeight="1" x14ac:dyDescent="0.2">
      <c r="A53" s="74" t="s">
        <v>122</v>
      </c>
      <c r="B53" s="75" t="s">
        <v>13</v>
      </c>
      <c r="C53" s="75"/>
      <c r="D53" s="75" t="s">
        <v>123</v>
      </c>
      <c r="E53" s="76"/>
      <c r="F53" s="77">
        <v>1</v>
      </c>
      <c r="G53" s="77" t="s">
        <v>15</v>
      </c>
      <c r="H53" s="78">
        <f>I54 + I55 + I56 + I57 + I58</f>
        <v>98144.44</v>
      </c>
      <c r="I53" s="78">
        <f t="shared" si="0"/>
        <v>98144.44</v>
      </c>
      <c r="J53" s="79">
        <f>I53 / J10</f>
        <v>5.2176251740779965E-2</v>
      </c>
    </row>
    <row r="54" spans="1:10" ht="26.1" customHeight="1" x14ac:dyDescent="0.2">
      <c r="A54" s="38" t="s">
        <v>124</v>
      </c>
      <c r="B54" s="21" t="s">
        <v>125</v>
      </c>
      <c r="C54" s="21" t="s">
        <v>27</v>
      </c>
      <c r="D54" s="21" t="s">
        <v>126</v>
      </c>
      <c r="E54" s="22" t="s">
        <v>20</v>
      </c>
      <c r="F54" s="80">
        <v>58.81</v>
      </c>
      <c r="G54" s="23">
        <v>55.87</v>
      </c>
      <c r="H54" s="23">
        <f>ROUND(ROUND(G54 * J11, 2) + G54, 2)</f>
        <v>70.81</v>
      </c>
      <c r="I54" s="23">
        <f t="shared" si="0"/>
        <v>4164.34</v>
      </c>
      <c r="J54" s="39">
        <f>I54 / J10</f>
        <v>2.2138763252834257E-3</v>
      </c>
    </row>
    <row r="55" spans="1:10" ht="26.1" customHeight="1" x14ac:dyDescent="0.2">
      <c r="A55" s="38" t="s">
        <v>127</v>
      </c>
      <c r="B55" s="21" t="s">
        <v>125</v>
      </c>
      <c r="C55" s="21" t="s">
        <v>27</v>
      </c>
      <c r="D55" s="21" t="s">
        <v>126</v>
      </c>
      <c r="E55" s="22" t="s">
        <v>20</v>
      </c>
      <c r="F55" s="80">
        <v>615.88</v>
      </c>
      <c r="G55" s="23">
        <v>55.87</v>
      </c>
      <c r="H55" s="23">
        <f>ROUND(ROUND(G55 * J11, 2) + G55, 2)</f>
        <v>70.81</v>
      </c>
      <c r="I55" s="23">
        <f t="shared" si="0"/>
        <v>43610.46</v>
      </c>
      <c r="J55" s="39">
        <f>I55 / J10</f>
        <v>2.3184505810937582E-2</v>
      </c>
    </row>
    <row r="56" spans="1:10" ht="26.1" customHeight="1" x14ac:dyDescent="0.2">
      <c r="A56" s="38" t="s">
        <v>128</v>
      </c>
      <c r="B56" s="21" t="s">
        <v>125</v>
      </c>
      <c r="C56" s="21" t="s">
        <v>27</v>
      </c>
      <c r="D56" s="21" t="s">
        <v>126</v>
      </c>
      <c r="E56" s="22" t="s">
        <v>20</v>
      </c>
      <c r="F56" s="80">
        <v>508.05</v>
      </c>
      <c r="G56" s="23">
        <v>55.87</v>
      </c>
      <c r="H56" s="23">
        <f>ROUND(ROUND(G56 * J11, 2) + G56, 2)</f>
        <v>70.81</v>
      </c>
      <c r="I56" s="23">
        <f t="shared" si="0"/>
        <v>35975.019999999997</v>
      </c>
      <c r="J56" s="39">
        <f>I56 / J10</f>
        <v>1.9125298385722043E-2</v>
      </c>
    </row>
    <row r="57" spans="1:10" ht="26.1" customHeight="1" x14ac:dyDescent="0.2">
      <c r="A57" s="38" t="s">
        <v>129</v>
      </c>
      <c r="B57" s="21" t="s">
        <v>125</v>
      </c>
      <c r="C57" s="21" t="s">
        <v>27</v>
      </c>
      <c r="D57" s="21" t="s">
        <v>126</v>
      </c>
      <c r="E57" s="22" t="s">
        <v>20</v>
      </c>
      <c r="F57" s="80">
        <v>169.35</v>
      </c>
      <c r="G57" s="23">
        <v>55.87</v>
      </c>
      <c r="H57" s="23">
        <f>ROUND(ROUND(G57 * J11, 2) + G57, 2)</f>
        <v>70.81</v>
      </c>
      <c r="I57" s="23">
        <f t="shared" si="0"/>
        <v>11991.67</v>
      </c>
      <c r="J57" s="39">
        <f>I57 / J10</f>
        <v>6.3750976898167529E-3</v>
      </c>
    </row>
    <row r="58" spans="1:10" ht="24" customHeight="1" x14ac:dyDescent="0.2">
      <c r="A58" s="38" t="s">
        <v>130</v>
      </c>
      <c r="B58" s="21" t="s">
        <v>131</v>
      </c>
      <c r="C58" s="21" t="s">
        <v>23</v>
      </c>
      <c r="D58" s="21" t="s">
        <v>132</v>
      </c>
      <c r="E58" s="22" t="s">
        <v>68</v>
      </c>
      <c r="F58" s="80">
        <v>32.6</v>
      </c>
      <c r="G58" s="23">
        <v>58.16</v>
      </c>
      <c r="H58" s="23">
        <f>ROUND(ROUND(G58 * J11, 2) + G58, 2)</f>
        <v>73.709999999999994</v>
      </c>
      <c r="I58" s="23">
        <f t="shared" si="0"/>
        <v>2402.9499999999998</v>
      </c>
      <c r="J58" s="39">
        <f>I58 / J10</f>
        <v>1.2774735290201585E-3</v>
      </c>
    </row>
    <row r="59" spans="1:10" ht="24" customHeight="1" x14ac:dyDescent="0.2">
      <c r="A59" s="74" t="s">
        <v>133</v>
      </c>
      <c r="B59" s="75" t="s">
        <v>13</v>
      </c>
      <c r="C59" s="75"/>
      <c r="D59" s="75" t="s">
        <v>134</v>
      </c>
      <c r="E59" s="76"/>
      <c r="F59" s="77">
        <v>1</v>
      </c>
      <c r="G59" s="77" t="s">
        <v>15</v>
      </c>
      <c r="H59" s="78">
        <f>I60 + I61 + I62 + I63 + I64 + I65 + I66</f>
        <v>34553.56</v>
      </c>
      <c r="I59" s="78">
        <f t="shared" si="0"/>
        <v>34553.56</v>
      </c>
      <c r="J59" s="79">
        <f>I59 / J10</f>
        <v>1.8369611616309033E-2</v>
      </c>
    </row>
    <row r="60" spans="1:10" ht="24" customHeight="1" x14ac:dyDescent="0.2">
      <c r="A60" s="38" t="s">
        <v>135</v>
      </c>
      <c r="B60" s="21" t="s">
        <v>136</v>
      </c>
      <c r="C60" s="21" t="s">
        <v>18</v>
      </c>
      <c r="D60" s="21" t="s">
        <v>137</v>
      </c>
      <c r="E60" s="22" t="s">
        <v>36</v>
      </c>
      <c r="F60" s="80">
        <v>16.38</v>
      </c>
      <c r="G60" s="23">
        <v>2.12</v>
      </c>
      <c r="H60" s="23">
        <f>ROUND(ROUND(G60 * J11, 2) + G60, 2)</f>
        <v>2.69</v>
      </c>
      <c r="I60" s="23">
        <f t="shared" si="0"/>
        <v>44.06</v>
      </c>
      <c r="J60" s="39">
        <f>I60 / J10</f>
        <v>2.3423493492843458E-5</v>
      </c>
    </row>
    <row r="61" spans="1:10" ht="26.1" customHeight="1" x14ac:dyDescent="0.2">
      <c r="A61" s="38" t="s">
        <v>138</v>
      </c>
      <c r="B61" s="21" t="s">
        <v>139</v>
      </c>
      <c r="C61" s="21" t="s">
        <v>18</v>
      </c>
      <c r="D61" s="21" t="s">
        <v>140</v>
      </c>
      <c r="E61" s="22" t="s">
        <v>36</v>
      </c>
      <c r="F61" s="80">
        <v>8.19</v>
      </c>
      <c r="G61" s="23">
        <v>213.13</v>
      </c>
      <c r="H61" s="23">
        <f>ROUND(ROUND(G61 * J11, 2) + G61, 2)</f>
        <v>270.12</v>
      </c>
      <c r="I61" s="23">
        <f t="shared" si="0"/>
        <v>2212.2800000000002</v>
      </c>
      <c r="J61" s="39">
        <f>I61 / J10</f>
        <v>1.1761081748603661E-3</v>
      </c>
    </row>
    <row r="62" spans="1:10" ht="26.1" customHeight="1" x14ac:dyDescent="0.2">
      <c r="A62" s="38" t="s">
        <v>141</v>
      </c>
      <c r="B62" s="21" t="s">
        <v>142</v>
      </c>
      <c r="C62" s="21" t="s">
        <v>18</v>
      </c>
      <c r="D62" s="21" t="s">
        <v>143</v>
      </c>
      <c r="E62" s="22" t="s">
        <v>20</v>
      </c>
      <c r="F62" s="80">
        <v>163.76</v>
      </c>
      <c r="G62" s="23">
        <v>3.83</v>
      </c>
      <c r="H62" s="23">
        <f>ROUND(ROUND(G62 * J11, 2) + G62, 2)</f>
        <v>4.8499999999999996</v>
      </c>
      <c r="I62" s="23">
        <f t="shared" si="0"/>
        <v>794.24</v>
      </c>
      <c r="J62" s="39">
        <f>I62 / J10</f>
        <v>4.2223957039845642E-4</v>
      </c>
    </row>
    <row r="63" spans="1:10" ht="39" customHeight="1" x14ac:dyDescent="0.2">
      <c r="A63" s="38" t="s">
        <v>144</v>
      </c>
      <c r="B63" s="21" t="s">
        <v>145</v>
      </c>
      <c r="C63" s="21" t="s">
        <v>18</v>
      </c>
      <c r="D63" s="21" t="s">
        <v>146</v>
      </c>
      <c r="E63" s="22" t="s">
        <v>20</v>
      </c>
      <c r="F63" s="80">
        <v>163.76</v>
      </c>
      <c r="G63" s="23">
        <v>19.690000000000001</v>
      </c>
      <c r="H63" s="23">
        <f>ROUND(ROUND(G63 * J11, 2) + G63, 2)</f>
        <v>24.96</v>
      </c>
      <c r="I63" s="23">
        <f t="shared" si="0"/>
        <v>4087.45</v>
      </c>
      <c r="J63" s="39">
        <f>I63 / J10</f>
        <v>2.1729995115143666E-3</v>
      </c>
    </row>
    <row r="64" spans="1:10" ht="39" customHeight="1" x14ac:dyDescent="0.2">
      <c r="A64" s="38" t="s">
        <v>147</v>
      </c>
      <c r="B64" s="21" t="s">
        <v>148</v>
      </c>
      <c r="C64" s="21" t="s">
        <v>18</v>
      </c>
      <c r="D64" s="21" t="s">
        <v>107</v>
      </c>
      <c r="E64" s="22" t="s">
        <v>36</v>
      </c>
      <c r="F64" s="80">
        <v>13.1</v>
      </c>
      <c r="G64" s="23">
        <v>682.16</v>
      </c>
      <c r="H64" s="23">
        <f>ROUND(ROUND(G64 * J11, 2) + G64, 2)</f>
        <v>864.57</v>
      </c>
      <c r="I64" s="23">
        <f t="shared" si="0"/>
        <v>11325.87</v>
      </c>
      <c r="J64" s="39">
        <f>I64 / J10</f>
        <v>6.0211403142485468E-3</v>
      </c>
    </row>
    <row r="65" spans="1:10" ht="39" customHeight="1" x14ac:dyDescent="0.2">
      <c r="A65" s="38" t="s">
        <v>149</v>
      </c>
      <c r="B65" s="21" t="s">
        <v>150</v>
      </c>
      <c r="C65" s="21" t="s">
        <v>18</v>
      </c>
      <c r="D65" s="21" t="s">
        <v>151</v>
      </c>
      <c r="E65" s="22" t="s">
        <v>20</v>
      </c>
      <c r="F65" s="80">
        <v>748.76</v>
      </c>
      <c r="G65" s="23">
        <v>15.49</v>
      </c>
      <c r="H65" s="23">
        <f>ROUND(ROUND(G65 * J11, 2) + G65, 2)</f>
        <v>19.63</v>
      </c>
      <c r="I65" s="23">
        <f t="shared" si="0"/>
        <v>14698.16</v>
      </c>
      <c r="J65" s="39">
        <f>I65 / J10</f>
        <v>7.8139413326548338E-3</v>
      </c>
    </row>
    <row r="66" spans="1:10" ht="26.1" customHeight="1" x14ac:dyDescent="0.2">
      <c r="A66" s="38" t="s">
        <v>152</v>
      </c>
      <c r="B66" s="21" t="s">
        <v>153</v>
      </c>
      <c r="C66" s="21" t="s">
        <v>154</v>
      </c>
      <c r="D66" s="21" t="s">
        <v>155</v>
      </c>
      <c r="E66" s="22" t="s">
        <v>47</v>
      </c>
      <c r="F66" s="80">
        <v>110</v>
      </c>
      <c r="G66" s="23">
        <v>9.98</v>
      </c>
      <c r="H66" s="23">
        <f>ROUND(ROUND(G66 * J11, 2) + G66, 2)</f>
        <v>12.65</v>
      </c>
      <c r="I66" s="23">
        <f t="shared" si="0"/>
        <v>1391.5</v>
      </c>
      <c r="J66" s="39">
        <f>I66 / J10</f>
        <v>7.3975921913962039E-4</v>
      </c>
    </row>
    <row r="67" spans="1:10" ht="24" customHeight="1" x14ac:dyDescent="0.2">
      <c r="A67" s="74" t="s">
        <v>156</v>
      </c>
      <c r="B67" s="75" t="s">
        <v>13</v>
      </c>
      <c r="C67" s="75"/>
      <c r="D67" s="75" t="s">
        <v>157</v>
      </c>
      <c r="E67" s="76"/>
      <c r="F67" s="77">
        <v>1</v>
      </c>
      <c r="G67" s="77" t="s">
        <v>15</v>
      </c>
      <c r="H67" s="78">
        <f>I68 + I69 + I70 + I71 + I72 + I73</f>
        <v>75181.540000000008</v>
      </c>
      <c r="I67" s="78">
        <f t="shared" si="0"/>
        <v>75181.539999999994</v>
      </c>
      <c r="J67" s="79">
        <f>I67 / J10</f>
        <v>3.9968549999363369E-2</v>
      </c>
    </row>
    <row r="68" spans="1:10" ht="26.1" customHeight="1" x14ac:dyDescent="0.2">
      <c r="A68" s="38" t="s">
        <v>158</v>
      </c>
      <c r="B68" s="21" t="s">
        <v>159</v>
      </c>
      <c r="C68" s="21" t="s">
        <v>18</v>
      </c>
      <c r="D68" s="21" t="s">
        <v>160</v>
      </c>
      <c r="E68" s="22" t="s">
        <v>36</v>
      </c>
      <c r="F68" s="81">
        <v>16.25</v>
      </c>
      <c r="G68" s="23">
        <v>80.459999999999994</v>
      </c>
      <c r="H68" s="23">
        <f>ROUND(ROUND(G68 * J11, 2) + G68, 2)</f>
        <v>101.98</v>
      </c>
      <c r="I68" s="23">
        <f t="shared" si="0"/>
        <v>1657.18</v>
      </c>
      <c r="J68" s="39">
        <f>I68 / J10</f>
        <v>8.810019279725448E-4</v>
      </c>
    </row>
    <row r="69" spans="1:10" ht="26.1" customHeight="1" x14ac:dyDescent="0.2">
      <c r="A69" s="38" t="s">
        <v>161</v>
      </c>
      <c r="B69" s="21" t="s">
        <v>162</v>
      </c>
      <c r="C69" s="21" t="s">
        <v>18</v>
      </c>
      <c r="D69" s="21" t="s">
        <v>163</v>
      </c>
      <c r="E69" s="22" t="s">
        <v>78</v>
      </c>
      <c r="F69" s="81">
        <v>414.66</v>
      </c>
      <c r="G69" s="23">
        <v>13.6</v>
      </c>
      <c r="H69" s="23">
        <f>ROUND(ROUND(G69 * J11, 2) + G69, 2)</f>
        <v>17.239999999999998</v>
      </c>
      <c r="I69" s="23">
        <f t="shared" si="0"/>
        <v>7148.74</v>
      </c>
      <c r="J69" s="39">
        <f>I69 / J10</f>
        <v>3.8004644773497443E-3</v>
      </c>
    </row>
    <row r="70" spans="1:10" ht="39" customHeight="1" x14ac:dyDescent="0.2">
      <c r="A70" s="38" t="s">
        <v>164</v>
      </c>
      <c r="B70" s="21" t="s">
        <v>148</v>
      </c>
      <c r="C70" s="21" t="s">
        <v>18</v>
      </c>
      <c r="D70" s="21" t="s">
        <v>165</v>
      </c>
      <c r="E70" s="22" t="s">
        <v>36</v>
      </c>
      <c r="F70" s="81">
        <v>25.05</v>
      </c>
      <c r="G70" s="23">
        <v>682.16</v>
      </c>
      <c r="H70" s="23">
        <f>ROUND(ROUND(G70 * J11, 2) + G70, 2)</f>
        <v>864.57</v>
      </c>
      <c r="I70" s="23">
        <f t="shared" si="0"/>
        <v>21657.48</v>
      </c>
      <c r="J70" s="39">
        <f>I70 / J10</f>
        <v>1.1513704989818142E-2</v>
      </c>
    </row>
    <row r="71" spans="1:10" ht="78" customHeight="1" x14ac:dyDescent="0.2">
      <c r="A71" s="38" t="s">
        <v>166</v>
      </c>
      <c r="B71" s="21" t="s">
        <v>167</v>
      </c>
      <c r="C71" s="21" t="s">
        <v>168</v>
      </c>
      <c r="D71" s="21" t="s">
        <v>169</v>
      </c>
      <c r="E71" s="22" t="s">
        <v>20</v>
      </c>
      <c r="F71" s="81">
        <v>126.99</v>
      </c>
      <c r="G71" s="23">
        <v>194.04</v>
      </c>
      <c r="H71" s="23">
        <f>ROUND(ROUND(G71 * J11, 2) + G71, 2)</f>
        <v>245.93</v>
      </c>
      <c r="I71" s="23">
        <f t="shared" si="0"/>
        <v>31230.65</v>
      </c>
      <c r="J71" s="39">
        <f>I71 / J10</f>
        <v>1.660306234798619E-2</v>
      </c>
    </row>
    <row r="72" spans="1:10" ht="26.1" customHeight="1" x14ac:dyDescent="0.2">
      <c r="A72" s="38" t="s">
        <v>170</v>
      </c>
      <c r="B72" s="21" t="s">
        <v>171</v>
      </c>
      <c r="C72" s="21" t="s">
        <v>18</v>
      </c>
      <c r="D72" s="21" t="s">
        <v>172</v>
      </c>
      <c r="E72" s="22" t="s">
        <v>20</v>
      </c>
      <c r="F72" s="81">
        <v>165.93</v>
      </c>
      <c r="G72" s="23">
        <v>33.71</v>
      </c>
      <c r="H72" s="23">
        <f>ROUND(ROUND(G72 * J11, 2) + G72, 2)</f>
        <v>42.72</v>
      </c>
      <c r="I72" s="23">
        <f t="shared" si="0"/>
        <v>7088.53</v>
      </c>
      <c r="J72" s="39">
        <f>I72 / J10</f>
        <v>3.7684552049211447E-3</v>
      </c>
    </row>
    <row r="73" spans="1:10" ht="26.1" customHeight="1" x14ac:dyDescent="0.2">
      <c r="A73" s="38" t="s">
        <v>173</v>
      </c>
      <c r="B73" s="21" t="s">
        <v>174</v>
      </c>
      <c r="C73" s="21" t="s">
        <v>27</v>
      </c>
      <c r="D73" s="21" t="s">
        <v>175</v>
      </c>
      <c r="E73" s="22" t="s">
        <v>36</v>
      </c>
      <c r="F73" s="81">
        <v>60.74</v>
      </c>
      <c r="G73" s="23">
        <v>83.12</v>
      </c>
      <c r="H73" s="23">
        <f>ROUND(ROUND(G73 * J11, 2) + G73, 2)</f>
        <v>105.35</v>
      </c>
      <c r="I73" s="23">
        <f t="shared" si="0"/>
        <v>6398.96</v>
      </c>
      <c r="J73" s="39">
        <f>I73 / J10</f>
        <v>3.4018610513156054E-3</v>
      </c>
    </row>
    <row r="74" spans="1:10" ht="24" customHeight="1" x14ac:dyDescent="0.2">
      <c r="A74" s="74" t="s">
        <v>176</v>
      </c>
      <c r="B74" s="75" t="s">
        <v>13</v>
      </c>
      <c r="C74" s="75"/>
      <c r="D74" s="75" t="s">
        <v>177</v>
      </c>
      <c r="E74" s="76"/>
      <c r="F74" s="77">
        <v>1</v>
      </c>
      <c r="G74" s="77" t="s">
        <v>15</v>
      </c>
      <c r="H74" s="78">
        <f>I75 + I76</f>
        <v>16127.04</v>
      </c>
      <c r="I74" s="78">
        <f t="shared" si="0"/>
        <v>16127.04</v>
      </c>
      <c r="J74" s="79">
        <f>I74 / J10</f>
        <v>8.5735727757336854E-3</v>
      </c>
    </row>
    <row r="75" spans="1:10" ht="51.95" customHeight="1" x14ac:dyDescent="0.2">
      <c r="A75" s="38" t="s">
        <v>178</v>
      </c>
      <c r="B75" s="21" t="s">
        <v>179</v>
      </c>
      <c r="C75" s="21" t="s">
        <v>27</v>
      </c>
      <c r="D75" s="21" t="s">
        <v>180</v>
      </c>
      <c r="E75" s="22" t="s">
        <v>20</v>
      </c>
      <c r="F75" s="81">
        <v>245.62</v>
      </c>
      <c r="G75" s="23">
        <v>23.49</v>
      </c>
      <c r="H75" s="23">
        <f>ROUND(ROUND(G75 * J11, 2) + G75, 2)</f>
        <v>29.77</v>
      </c>
      <c r="I75" s="23">
        <f t="shared" si="0"/>
        <v>7312.11</v>
      </c>
      <c r="J75" s="39">
        <f>I75 / J10</f>
        <v>3.8873164095314474E-3</v>
      </c>
    </row>
    <row r="76" spans="1:10" ht="51.95" customHeight="1" x14ac:dyDescent="0.2">
      <c r="A76" s="38" t="s">
        <v>181</v>
      </c>
      <c r="B76" s="21" t="s">
        <v>182</v>
      </c>
      <c r="C76" s="21" t="s">
        <v>154</v>
      </c>
      <c r="D76" s="21" t="s">
        <v>183</v>
      </c>
      <c r="E76" s="22" t="s">
        <v>20</v>
      </c>
      <c r="F76" s="81">
        <v>69.86</v>
      </c>
      <c r="G76" s="23">
        <v>99.56</v>
      </c>
      <c r="H76" s="23">
        <f>ROUND(ROUND(G76 * J11, 2) + G76, 2)</f>
        <v>126.18</v>
      </c>
      <c r="I76" s="23">
        <f t="shared" si="0"/>
        <v>8814.93</v>
      </c>
      <c r="J76" s="39">
        <f>I76 / J10</f>
        <v>4.6862563662022376E-3</v>
      </c>
    </row>
    <row r="77" spans="1:10" ht="24" customHeight="1" x14ac:dyDescent="0.2">
      <c r="A77" s="74" t="s">
        <v>184</v>
      </c>
      <c r="B77" s="75" t="s">
        <v>13</v>
      </c>
      <c r="C77" s="75"/>
      <c r="D77" s="75" t="s">
        <v>185</v>
      </c>
      <c r="E77" s="76"/>
      <c r="F77" s="77">
        <v>1</v>
      </c>
      <c r="G77" s="77" t="s">
        <v>15</v>
      </c>
      <c r="H77" s="78">
        <f>I78 + I79 + I80 + I81 + I82 + I83 + I84 + I85</f>
        <v>94463.189999999988</v>
      </c>
      <c r="I77" s="78">
        <f t="shared" ref="I77:I140" si="1">ROUND(F77 * H77,2)</f>
        <v>94463.19</v>
      </c>
      <c r="J77" s="79">
        <f>I77 / J10</f>
        <v>5.0219199189247284E-2</v>
      </c>
    </row>
    <row r="78" spans="1:10" ht="26.1" customHeight="1" x14ac:dyDescent="0.2">
      <c r="A78" s="38" t="s">
        <v>186</v>
      </c>
      <c r="B78" s="21" t="s">
        <v>187</v>
      </c>
      <c r="C78" s="21" t="s">
        <v>120</v>
      </c>
      <c r="D78" s="21" t="s">
        <v>188</v>
      </c>
      <c r="E78" s="22" t="s">
        <v>20</v>
      </c>
      <c r="F78" s="80">
        <v>81.709999999999994</v>
      </c>
      <c r="G78" s="23">
        <v>283.64</v>
      </c>
      <c r="H78" s="23">
        <f>ROUND(ROUND(G78 * J11, 2) + G78, 2)</f>
        <v>359.49</v>
      </c>
      <c r="I78" s="23">
        <f t="shared" si="1"/>
        <v>29373.93</v>
      </c>
      <c r="J78" s="39">
        <f>I78 / J10</f>
        <v>1.561597953277892E-2</v>
      </c>
    </row>
    <row r="79" spans="1:10" ht="78" customHeight="1" x14ac:dyDescent="0.2">
      <c r="A79" s="38" t="s">
        <v>189</v>
      </c>
      <c r="B79" s="21" t="s">
        <v>190</v>
      </c>
      <c r="C79" s="21" t="s">
        <v>18</v>
      </c>
      <c r="D79" s="21" t="s">
        <v>191</v>
      </c>
      <c r="E79" s="22" t="s">
        <v>47</v>
      </c>
      <c r="F79" s="80">
        <v>8.4</v>
      </c>
      <c r="G79" s="23">
        <v>245.66</v>
      </c>
      <c r="H79" s="23">
        <f>ROUND(ROUND(G79 * J11, 2) + G79, 2)</f>
        <v>311.35000000000002</v>
      </c>
      <c r="I79" s="23">
        <f t="shared" si="1"/>
        <v>2615.34</v>
      </c>
      <c r="J79" s="39">
        <f>I79 / J10</f>
        <v>1.3903858255009808E-3</v>
      </c>
    </row>
    <row r="80" spans="1:10" ht="26.1" customHeight="1" x14ac:dyDescent="0.2">
      <c r="A80" s="38" t="s">
        <v>192</v>
      </c>
      <c r="B80" s="21" t="s">
        <v>193</v>
      </c>
      <c r="C80" s="21" t="s">
        <v>154</v>
      </c>
      <c r="D80" s="21" t="s">
        <v>194</v>
      </c>
      <c r="E80" s="22" t="s">
        <v>47</v>
      </c>
      <c r="F80" s="80">
        <v>28.2</v>
      </c>
      <c r="G80" s="23">
        <v>188.19</v>
      </c>
      <c r="H80" s="23">
        <f>ROUND(ROUND(G80 * J11, 2) + G80, 2)</f>
        <v>238.51</v>
      </c>
      <c r="I80" s="23">
        <f t="shared" si="1"/>
        <v>6725.98</v>
      </c>
      <c r="J80" s="39">
        <f>I80 / J10</f>
        <v>3.5757137712890429E-3</v>
      </c>
    </row>
    <row r="81" spans="1:10" ht="78" customHeight="1" x14ac:dyDescent="0.2">
      <c r="A81" s="38" t="s">
        <v>195</v>
      </c>
      <c r="B81" s="21" t="s">
        <v>196</v>
      </c>
      <c r="C81" s="21" t="s">
        <v>18</v>
      </c>
      <c r="D81" s="21" t="s">
        <v>197</v>
      </c>
      <c r="E81" s="22" t="s">
        <v>20</v>
      </c>
      <c r="F81" s="80">
        <v>233.5</v>
      </c>
      <c r="G81" s="23">
        <v>133.86000000000001</v>
      </c>
      <c r="H81" s="23">
        <f>ROUND(ROUND(G81 * J11, 2) + G81, 2)</f>
        <v>169.65</v>
      </c>
      <c r="I81" s="23">
        <f t="shared" si="1"/>
        <v>39613.279999999999</v>
      </c>
      <c r="J81" s="39">
        <f>I81 / J10</f>
        <v>2.1059496284843077E-2</v>
      </c>
    </row>
    <row r="82" spans="1:10" ht="39" customHeight="1" x14ac:dyDescent="0.2">
      <c r="A82" s="38" t="s">
        <v>198</v>
      </c>
      <c r="B82" s="21" t="s">
        <v>199</v>
      </c>
      <c r="C82" s="21" t="s">
        <v>18</v>
      </c>
      <c r="D82" s="21" t="s">
        <v>200</v>
      </c>
      <c r="E82" s="22" t="s">
        <v>201</v>
      </c>
      <c r="F82" s="80">
        <v>12</v>
      </c>
      <c r="G82" s="23">
        <v>22.48</v>
      </c>
      <c r="H82" s="23">
        <f>ROUND(ROUND(G82 * J11, 2) + G82, 2)</f>
        <v>28.49</v>
      </c>
      <c r="I82" s="23">
        <f t="shared" si="1"/>
        <v>341.88</v>
      </c>
      <c r="J82" s="39">
        <f>I82 / J10</f>
        <v>1.8175269984869091E-4</v>
      </c>
    </row>
    <row r="83" spans="1:10" ht="26.1" customHeight="1" x14ac:dyDescent="0.2">
      <c r="A83" s="38" t="s">
        <v>202</v>
      </c>
      <c r="B83" s="21" t="s">
        <v>203</v>
      </c>
      <c r="C83" s="21" t="s">
        <v>154</v>
      </c>
      <c r="D83" s="21" t="s">
        <v>204</v>
      </c>
      <c r="E83" s="22" t="s">
        <v>47</v>
      </c>
      <c r="F83" s="80">
        <v>6.6</v>
      </c>
      <c r="G83" s="23">
        <v>109.04</v>
      </c>
      <c r="H83" s="23">
        <f>ROUND(ROUND(G83 * J11, 2) + G83, 2)</f>
        <v>138.19999999999999</v>
      </c>
      <c r="I83" s="23">
        <f t="shared" si="1"/>
        <v>912.12</v>
      </c>
      <c r="J83" s="39">
        <f>I83 / J10</f>
        <v>4.8490778222179702E-4</v>
      </c>
    </row>
    <row r="84" spans="1:10" ht="24" customHeight="1" x14ac:dyDescent="0.2">
      <c r="A84" s="38" t="s">
        <v>205</v>
      </c>
      <c r="B84" s="21" t="s">
        <v>206</v>
      </c>
      <c r="C84" s="21" t="s">
        <v>23</v>
      </c>
      <c r="D84" s="21" t="s">
        <v>207</v>
      </c>
      <c r="E84" s="22" t="s">
        <v>20</v>
      </c>
      <c r="F84" s="80">
        <v>44.34</v>
      </c>
      <c r="G84" s="23">
        <v>239.78</v>
      </c>
      <c r="H84" s="23">
        <f>ROUND(ROUND(G84 * J11, 2) + G84, 2)</f>
        <v>303.89999999999998</v>
      </c>
      <c r="I84" s="23">
        <f t="shared" si="1"/>
        <v>13474.93</v>
      </c>
      <c r="J84" s="39">
        <f>I84 / J10</f>
        <v>7.1636390188724716E-3</v>
      </c>
    </row>
    <row r="85" spans="1:10" ht="39" customHeight="1" x14ac:dyDescent="0.2">
      <c r="A85" s="38" t="s">
        <v>208</v>
      </c>
      <c r="B85" s="21" t="s">
        <v>209</v>
      </c>
      <c r="C85" s="21" t="s">
        <v>27</v>
      </c>
      <c r="D85" s="21" t="s">
        <v>210</v>
      </c>
      <c r="E85" s="22" t="s">
        <v>68</v>
      </c>
      <c r="F85" s="80">
        <v>4.8</v>
      </c>
      <c r="G85" s="23">
        <v>231.07</v>
      </c>
      <c r="H85" s="23">
        <f>ROUND(ROUND(G85 * J11, 2) + G85, 2)</f>
        <v>292.86</v>
      </c>
      <c r="I85" s="23">
        <f t="shared" si="1"/>
        <v>1405.73</v>
      </c>
      <c r="J85" s="39">
        <f>I85 / J10</f>
        <v>7.4732427389230223E-4</v>
      </c>
    </row>
    <row r="86" spans="1:10" ht="24" customHeight="1" x14ac:dyDescent="0.2">
      <c r="A86" s="74" t="s">
        <v>211</v>
      </c>
      <c r="B86" s="75" t="s">
        <v>13</v>
      </c>
      <c r="C86" s="75"/>
      <c r="D86" s="75" t="s">
        <v>212</v>
      </c>
      <c r="E86" s="76"/>
      <c r="F86" s="77">
        <v>1</v>
      </c>
      <c r="G86" s="77" t="s">
        <v>15</v>
      </c>
      <c r="H86" s="78">
        <f>I87 + I88 + I89 + I90 + I91 + I92 + I93 + I94 + I95 + I96</f>
        <v>110066.37</v>
      </c>
      <c r="I86" s="78">
        <f t="shared" si="1"/>
        <v>110066.37</v>
      </c>
      <c r="J86" s="79">
        <f>I86 / J10</f>
        <v>5.8514273751155248E-2</v>
      </c>
    </row>
    <row r="87" spans="1:10" ht="51.95" customHeight="1" x14ac:dyDescent="0.2">
      <c r="A87" s="38" t="s">
        <v>213</v>
      </c>
      <c r="B87" s="21" t="s">
        <v>214</v>
      </c>
      <c r="C87" s="21" t="s">
        <v>27</v>
      </c>
      <c r="D87" s="21" t="s">
        <v>215</v>
      </c>
      <c r="E87" s="22" t="s">
        <v>20</v>
      </c>
      <c r="F87" s="80">
        <v>615.88</v>
      </c>
      <c r="G87" s="23">
        <v>13.61</v>
      </c>
      <c r="H87" s="23">
        <f>ROUND(ROUND(G87 * J11, 2) + G87, 2)</f>
        <v>17.25</v>
      </c>
      <c r="I87" s="23">
        <f t="shared" si="1"/>
        <v>10623.93</v>
      </c>
      <c r="J87" s="39">
        <f>I87 / J10</f>
        <v>5.6479699324426787E-3</v>
      </c>
    </row>
    <row r="88" spans="1:10" ht="51.95" customHeight="1" x14ac:dyDescent="0.2">
      <c r="A88" s="38" t="s">
        <v>216</v>
      </c>
      <c r="B88" s="21" t="s">
        <v>214</v>
      </c>
      <c r="C88" s="21" t="s">
        <v>27</v>
      </c>
      <c r="D88" s="21" t="s">
        <v>215</v>
      </c>
      <c r="E88" s="22" t="s">
        <v>20</v>
      </c>
      <c r="F88" s="80">
        <v>508.05</v>
      </c>
      <c r="G88" s="23">
        <v>13.61</v>
      </c>
      <c r="H88" s="23">
        <f>ROUND(ROUND(G88 * J11, 2) + G88, 2)</f>
        <v>17.25</v>
      </c>
      <c r="I88" s="23">
        <f t="shared" si="1"/>
        <v>8763.86</v>
      </c>
      <c r="J88" s="39">
        <f>I88 / J10</f>
        <v>4.6591061661868157E-3</v>
      </c>
    </row>
    <row r="89" spans="1:10" ht="51.95" customHeight="1" x14ac:dyDescent="0.2">
      <c r="A89" s="38" t="s">
        <v>217</v>
      </c>
      <c r="B89" s="21" t="s">
        <v>214</v>
      </c>
      <c r="C89" s="21" t="s">
        <v>27</v>
      </c>
      <c r="D89" s="21" t="s">
        <v>215</v>
      </c>
      <c r="E89" s="22" t="s">
        <v>20</v>
      </c>
      <c r="F89" s="80">
        <v>169.35</v>
      </c>
      <c r="G89" s="23">
        <v>13.61</v>
      </c>
      <c r="H89" s="23">
        <f>ROUND(ROUND(G89 * J11, 2) + G89, 2)</f>
        <v>17.25</v>
      </c>
      <c r="I89" s="23">
        <f t="shared" si="1"/>
        <v>2921.29</v>
      </c>
      <c r="J89" s="39">
        <f>I89 / J10</f>
        <v>1.5530371608195339E-3</v>
      </c>
    </row>
    <row r="90" spans="1:10" ht="51.95" customHeight="1" x14ac:dyDescent="0.2">
      <c r="A90" s="38" t="s">
        <v>218</v>
      </c>
      <c r="B90" s="21" t="s">
        <v>214</v>
      </c>
      <c r="C90" s="21" t="s">
        <v>27</v>
      </c>
      <c r="D90" s="21" t="s">
        <v>215</v>
      </c>
      <c r="E90" s="22" t="s">
        <v>20</v>
      </c>
      <c r="F90" s="80">
        <v>17.87</v>
      </c>
      <c r="G90" s="23">
        <v>13.61</v>
      </c>
      <c r="H90" s="23">
        <f>ROUND(ROUND(G90 * J11, 2) + G90, 2)</f>
        <v>17.25</v>
      </c>
      <c r="I90" s="23">
        <f t="shared" si="1"/>
        <v>308.26</v>
      </c>
      <c r="J90" s="39">
        <f>I90 / J10</f>
        <v>1.6387939410131467E-4</v>
      </c>
    </row>
    <row r="91" spans="1:10" ht="51.95" customHeight="1" x14ac:dyDescent="0.2">
      <c r="A91" s="38" t="s">
        <v>219</v>
      </c>
      <c r="B91" s="21" t="s">
        <v>214</v>
      </c>
      <c r="C91" s="21" t="s">
        <v>27</v>
      </c>
      <c r="D91" s="21" t="s">
        <v>215</v>
      </c>
      <c r="E91" s="22" t="s">
        <v>20</v>
      </c>
      <c r="F91" s="80">
        <v>14.99</v>
      </c>
      <c r="G91" s="23">
        <v>13.61</v>
      </c>
      <c r="H91" s="23">
        <f>ROUND(ROUND(G91 * J11, 2) + G91, 2)</f>
        <v>17.25</v>
      </c>
      <c r="I91" s="23">
        <f t="shared" si="1"/>
        <v>258.58</v>
      </c>
      <c r="J91" s="39">
        <f>I91 / J10</f>
        <v>1.3746815586426376E-4</v>
      </c>
    </row>
    <row r="92" spans="1:10" ht="51.95" customHeight="1" x14ac:dyDescent="0.2">
      <c r="A92" s="38" t="s">
        <v>220</v>
      </c>
      <c r="B92" s="21" t="s">
        <v>221</v>
      </c>
      <c r="C92" s="21" t="s">
        <v>27</v>
      </c>
      <c r="D92" s="21" t="s">
        <v>222</v>
      </c>
      <c r="E92" s="22" t="s">
        <v>20</v>
      </c>
      <c r="F92" s="80">
        <v>181.78</v>
      </c>
      <c r="G92" s="23">
        <v>29.81</v>
      </c>
      <c r="H92" s="23">
        <f>ROUND(ROUND(G92 * J11, 2) + G92, 2)</f>
        <v>37.78</v>
      </c>
      <c r="I92" s="23">
        <f t="shared" si="1"/>
        <v>6867.65</v>
      </c>
      <c r="J92" s="39">
        <f>I92 / J10</f>
        <v>3.6510293936932903E-3</v>
      </c>
    </row>
    <row r="93" spans="1:10" ht="51.95" customHeight="1" x14ac:dyDescent="0.2">
      <c r="A93" s="38" t="s">
        <v>223</v>
      </c>
      <c r="B93" s="21" t="s">
        <v>221</v>
      </c>
      <c r="C93" s="21" t="s">
        <v>27</v>
      </c>
      <c r="D93" s="21" t="s">
        <v>222</v>
      </c>
      <c r="E93" s="22" t="s">
        <v>20</v>
      </c>
      <c r="F93" s="80">
        <v>69.86</v>
      </c>
      <c r="G93" s="23">
        <v>29.81</v>
      </c>
      <c r="H93" s="23">
        <f>ROUND(ROUND(G93 * J11, 2) + G93, 2)</f>
        <v>37.78</v>
      </c>
      <c r="I93" s="23">
        <f t="shared" si="1"/>
        <v>2639.31</v>
      </c>
      <c r="J93" s="39">
        <f>I93 / J10</f>
        <v>1.4031289289740505E-3</v>
      </c>
    </row>
    <row r="94" spans="1:10" ht="26.1" customHeight="1" x14ac:dyDescent="0.2">
      <c r="A94" s="38" t="s">
        <v>224</v>
      </c>
      <c r="B94" s="21" t="s">
        <v>225</v>
      </c>
      <c r="C94" s="21" t="s">
        <v>18</v>
      </c>
      <c r="D94" s="21" t="s">
        <v>226</v>
      </c>
      <c r="E94" s="22" t="s">
        <v>20</v>
      </c>
      <c r="F94" s="80">
        <v>889.6</v>
      </c>
      <c r="G94" s="23">
        <v>57.47</v>
      </c>
      <c r="H94" s="23">
        <f>ROUND(ROUND(G94 * J11, 2) + G94, 2)</f>
        <v>72.84</v>
      </c>
      <c r="I94" s="23">
        <f t="shared" si="1"/>
        <v>64798.46</v>
      </c>
      <c r="J94" s="39">
        <f>I94 / J10</f>
        <v>3.4448622472906879E-2</v>
      </c>
    </row>
    <row r="95" spans="1:10" ht="39" customHeight="1" x14ac:dyDescent="0.2">
      <c r="A95" s="38" t="s">
        <v>227</v>
      </c>
      <c r="B95" s="21" t="s">
        <v>228</v>
      </c>
      <c r="C95" s="21" t="s">
        <v>18</v>
      </c>
      <c r="D95" s="21" t="s">
        <v>229</v>
      </c>
      <c r="E95" s="22" t="s">
        <v>47</v>
      </c>
      <c r="F95" s="80">
        <v>468.91</v>
      </c>
      <c r="G95" s="23">
        <v>10.55</v>
      </c>
      <c r="H95" s="23">
        <f>ROUND(ROUND(G95 * J11, 2) + G95, 2)</f>
        <v>13.37</v>
      </c>
      <c r="I95" s="23">
        <f t="shared" si="1"/>
        <v>6269.33</v>
      </c>
      <c r="J95" s="39">
        <f>I95 / J10</f>
        <v>3.3329462201427207E-3</v>
      </c>
    </row>
    <row r="96" spans="1:10" ht="39" customHeight="1" x14ac:dyDescent="0.2">
      <c r="A96" s="38" t="s">
        <v>230</v>
      </c>
      <c r="B96" s="21" t="s">
        <v>231</v>
      </c>
      <c r="C96" s="21" t="s">
        <v>18</v>
      </c>
      <c r="D96" s="21" t="s">
        <v>232</v>
      </c>
      <c r="E96" s="22" t="s">
        <v>20</v>
      </c>
      <c r="F96" s="80">
        <v>134.22</v>
      </c>
      <c r="G96" s="23">
        <v>38.89</v>
      </c>
      <c r="H96" s="23">
        <f>ROUND(ROUND(G96 * J11, 2) + G96, 2)</f>
        <v>49.29</v>
      </c>
      <c r="I96" s="23">
        <f t="shared" si="1"/>
        <v>6615.7</v>
      </c>
      <c r="J96" s="39">
        <f>I96 / J10</f>
        <v>3.5170859260237053E-3</v>
      </c>
    </row>
    <row r="97" spans="1:10" ht="24" customHeight="1" x14ac:dyDescent="0.2">
      <c r="A97" s="74" t="s">
        <v>233</v>
      </c>
      <c r="B97" s="75" t="s">
        <v>13</v>
      </c>
      <c r="C97" s="75"/>
      <c r="D97" s="75" t="s">
        <v>234</v>
      </c>
      <c r="E97" s="76"/>
      <c r="F97" s="77">
        <v>1</v>
      </c>
      <c r="G97" s="77" t="s">
        <v>15</v>
      </c>
      <c r="H97" s="78">
        <f>I98 + I101 + I104 + I112 + I114</f>
        <v>10639.99</v>
      </c>
      <c r="I97" s="78">
        <f t="shared" si="1"/>
        <v>10639.99</v>
      </c>
      <c r="J97" s="79">
        <f>I97 / J10</f>
        <v>5.656507864932353E-3</v>
      </c>
    </row>
    <row r="98" spans="1:10" ht="24" customHeight="1" x14ac:dyDescent="0.2">
      <c r="A98" s="74" t="s">
        <v>235</v>
      </c>
      <c r="B98" s="75" t="s">
        <v>13</v>
      </c>
      <c r="C98" s="75"/>
      <c r="D98" s="75" t="s">
        <v>236</v>
      </c>
      <c r="E98" s="76"/>
      <c r="F98" s="77">
        <v>1</v>
      </c>
      <c r="G98" s="77" t="s">
        <v>15</v>
      </c>
      <c r="H98" s="78">
        <f>I99 + I100</f>
        <v>765.75</v>
      </c>
      <c r="I98" s="78">
        <f t="shared" si="1"/>
        <v>765.75</v>
      </c>
      <c r="J98" s="79">
        <f>I98 / J10</f>
        <v>4.0709351207773213E-4</v>
      </c>
    </row>
    <row r="99" spans="1:10" ht="51.95" customHeight="1" x14ac:dyDescent="0.2">
      <c r="A99" s="38" t="s">
        <v>237</v>
      </c>
      <c r="B99" s="21" t="s">
        <v>238</v>
      </c>
      <c r="C99" s="21" t="s">
        <v>27</v>
      </c>
      <c r="D99" s="21" t="s">
        <v>239</v>
      </c>
      <c r="E99" s="22" t="s">
        <v>240</v>
      </c>
      <c r="F99" s="80">
        <v>1</v>
      </c>
      <c r="G99" s="23">
        <v>441.6</v>
      </c>
      <c r="H99" s="23">
        <f>ROUND(ROUND(G99 * J11, 2) + G99, 2)</f>
        <v>559.67999999999995</v>
      </c>
      <c r="I99" s="23">
        <f t="shared" si="1"/>
        <v>559.67999999999995</v>
      </c>
      <c r="J99" s="39">
        <f>I99 / J10</f>
        <v>2.9754109936619666E-4</v>
      </c>
    </row>
    <row r="100" spans="1:10" ht="26.1" customHeight="1" x14ac:dyDescent="0.2">
      <c r="A100" s="38" t="s">
        <v>241</v>
      </c>
      <c r="B100" s="21" t="s">
        <v>242</v>
      </c>
      <c r="C100" s="21" t="s">
        <v>27</v>
      </c>
      <c r="D100" s="21" t="s">
        <v>243</v>
      </c>
      <c r="E100" s="22" t="s">
        <v>240</v>
      </c>
      <c r="F100" s="80">
        <v>1</v>
      </c>
      <c r="G100" s="23">
        <v>162.59</v>
      </c>
      <c r="H100" s="23">
        <f>ROUND(ROUND(G100 * J11, 2) + G100, 2)</f>
        <v>206.07</v>
      </c>
      <c r="I100" s="23">
        <f t="shared" si="1"/>
        <v>206.07</v>
      </c>
      <c r="J100" s="39">
        <f>I100 / J10</f>
        <v>1.0955241271153544E-4</v>
      </c>
    </row>
    <row r="101" spans="1:10" ht="24" customHeight="1" x14ac:dyDescent="0.2">
      <c r="A101" s="74" t="s">
        <v>244</v>
      </c>
      <c r="B101" s="75" t="s">
        <v>13</v>
      </c>
      <c r="C101" s="75"/>
      <c r="D101" s="75" t="s">
        <v>245</v>
      </c>
      <c r="E101" s="76"/>
      <c r="F101" s="77">
        <v>1</v>
      </c>
      <c r="G101" s="77" t="s">
        <v>15</v>
      </c>
      <c r="H101" s="78">
        <f>I102 + I103</f>
        <v>125.30000000000001</v>
      </c>
      <c r="I101" s="78">
        <f t="shared" si="1"/>
        <v>125.3</v>
      </c>
      <c r="J101" s="79">
        <f>I101 / J10</f>
        <v>6.6612885489180331E-5</v>
      </c>
    </row>
    <row r="102" spans="1:10" ht="26.1" customHeight="1" x14ac:dyDescent="0.2">
      <c r="A102" s="38" t="s">
        <v>246</v>
      </c>
      <c r="B102" s="21" t="s">
        <v>247</v>
      </c>
      <c r="C102" s="21" t="s">
        <v>27</v>
      </c>
      <c r="D102" s="21" t="s">
        <v>248</v>
      </c>
      <c r="E102" s="22" t="s">
        <v>240</v>
      </c>
      <c r="F102" s="80">
        <v>6</v>
      </c>
      <c r="G102" s="23">
        <v>14.12</v>
      </c>
      <c r="H102" s="23">
        <f>ROUND(ROUND(G102 * J11, 2) + G102, 2)</f>
        <v>17.899999999999999</v>
      </c>
      <c r="I102" s="23">
        <f t="shared" si="1"/>
        <v>107.4</v>
      </c>
      <c r="J102" s="39">
        <f>I102 / J10</f>
        <v>5.7096758990725999E-5</v>
      </c>
    </row>
    <row r="103" spans="1:10" ht="26.1" customHeight="1" x14ac:dyDescent="0.2">
      <c r="A103" s="38" t="s">
        <v>249</v>
      </c>
      <c r="B103" s="21" t="s">
        <v>250</v>
      </c>
      <c r="C103" s="21" t="s">
        <v>27</v>
      </c>
      <c r="D103" s="21" t="s">
        <v>251</v>
      </c>
      <c r="E103" s="22" t="s">
        <v>240</v>
      </c>
      <c r="F103" s="80">
        <v>1</v>
      </c>
      <c r="G103" s="23">
        <v>14.12</v>
      </c>
      <c r="H103" s="23">
        <f>ROUND(ROUND(G103 * J11, 2) + G103, 2)</f>
        <v>17.899999999999999</v>
      </c>
      <c r="I103" s="23">
        <f t="shared" si="1"/>
        <v>17.899999999999999</v>
      </c>
      <c r="J103" s="39">
        <f>I103 / J10</f>
        <v>9.516126498454332E-6</v>
      </c>
    </row>
    <row r="104" spans="1:10" ht="24" customHeight="1" x14ac:dyDescent="0.2">
      <c r="A104" s="74" t="s">
        <v>252</v>
      </c>
      <c r="B104" s="75" t="s">
        <v>13</v>
      </c>
      <c r="C104" s="75"/>
      <c r="D104" s="75" t="s">
        <v>253</v>
      </c>
      <c r="E104" s="76"/>
      <c r="F104" s="77">
        <v>1</v>
      </c>
      <c r="G104" s="77" t="s">
        <v>15</v>
      </c>
      <c r="H104" s="78">
        <f>I105 + I106 + I107 + I108 + I109 + I110 + I111</f>
        <v>4084.6000000000004</v>
      </c>
      <c r="I104" s="78">
        <f t="shared" si="1"/>
        <v>4084.6</v>
      </c>
      <c r="J104" s="79">
        <f>I104 / J10</f>
        <v>2.1714843740551154E-3</v>
      </c>
    </row>
    <row r="105" spans="1:10" ht="39" customHeight="1" x14ac:dyDescent="0.2">
      <c r="A105" s="38" t="s">
        <v>254</v>
      </c>
      <c r="B105" s="21" t="s">
        <v>255</v>
      </c>
      <c r="C105" s="21" t="s">
        <v>27</v>
      </c>
      <c r="D105" s="21" t="s">
        <v>256</v>
      </c>
      <c r="E105" s="22" t="s">
        <v>68</v>
      </c>
      <c r="F105" s="80">
        <v>93.3</v>
      </c>
      <c r="G105" s="23">
        <v>12.25</v>
      </c>
      <c r="H105" s="23">
        <f>ROUND(ROUND(G105 * J11, 2) + G105, 2)</f>
        <v>15.53</v>
      </c>
      <c r="I105" s="23">
        <f t="shared" si="1"/>
        <v>1448.95</v>
      </c>
      <c r="J105" s="39">
        <f>I105 / J10</f>
        <v>7.7030120055505058E-4</v>
      </c>
    </row>
    <row r="106" spans="1:10" ht="39" customHeight="1" x14ac:dyDescent="0.2">
      <c r="A106" s="38" t="s">
        <v>257</v>
      </c>
      <c r="B106" s="21" t="s">
        <v>258</v>
      </c>
      <c r="C106" s="21" t="s">
        <v>27</v>
      </c>
      <c r="D106" s="21" t="s">
        <v>259</v>
      </c>
      <c r="E106" s="22" t="s">
        <v>68</v>
      </c>
      <c r="F106" s="80">
        <v>36.200000000000003</v>
      </c>
      <c r="G106" s="23">
        <v>23.83</v>
      </c>
      <c r="H106" s="23">
        <f>ROUND(ROUND(G106 * J11, 2) + G106, 2)</f>
        <v>30.2</v>
      </c>
      <c r="I106" s="23">
        <f t="shared" si="1"/>
        <v>1093.24</v>
      </c>
      <c r="J106" s="39">
        <f>I106 / J10</f>
        <v>5.8119609682515171E-4</v>
      </c>
    </row>
    <row r="107" spans="1:10" ht="39" customHeight="1" x14ac:dyDescent="0.2">
      <c r="A107" s="38" t="s">
        <v>260</v>
      </c>
      <c r="B107" s="21" t="s">
        <v>261</v>
      </c>
      <c r="C107" s="21" t="s">
        <v>27</v>
      </c>
      <c r="D107" s="21" t="s">
        <v>262</v>
      </c>
      <c r="E107" s="22" t="s">
        <v>240</v>
      </c>
      <c r="F107" s="80">
        <v>81</v>
      </c>
      <c r="G107" s="23">
        <v>13</v>
      </c>
      <c r="H107" s="23">
        <f>ROUND(ROUND(G107 * J11, 2) + G107, 2)</f>
        <v>16.48</v>
      </c>
      <c r="I107" s="23">
        <f t="shared" si="1"/>
        <v>1334.88</v>
      </c>
      <c r="J107" s="39">
        <f>I107 / J10</f>
        <v>7.0965848828249837E-4</v>
      </c>
    </row>
    <row r="108" spans="1:10" ht="39" customHeight="1" x14ac:dyDescent="0.2">
      <c r="A108" s="38" t="s">
        <v>263</v>
      </c>
      <c r="B108" s="21" t="s">
        <v>264</v>
      </c>
      <c r="C108" s="21" t="s">
        <v>27</v>
      </c>
      <c r="D108" s="21" t="s">
        <v>265</v>
      </c>
      <c r="E108" s="22" t="s">
        <v>240</v>
      </c>
      <c r="F108" s="80">
        <v>4</v>
      </c>
      <c r="G108" s="23">
        <v>17.46</v>
      </c>
      <c r="H108" s="23">
        <f>ROUND(ROUND(G108 * J11, 2) + G108, 2)</f>
        <v>22.13</v>
      </c>
      <c r="I108" s="23">
        <f t="shared" si="1"/>
        <v>88.52</v>
      </c>
      <c r="J108" s="39">
        <f>I108 / J10</f>
        <v>4.7059637857160758E-5</v>
      </c>
    </row>
    <row r="109" spans="1:10" ht="51.95" customHeight="1" x14ac:dyDescent="0.2">
      <c r="A109" s="38" t="s">
        <v>266</v>
      </c>
      <c r="B109" s="21" t="s">
        <v>267</v>
      </c>
      <c r="C109" s="21" t="s">
        <v>27</v>
      </c>
      <c r="D109" s="21" t="s">
        <v>268</v>
      </c>
      <c r="E109" s="22" t="s">
        <v>240</v>
      </c>
      <c r="F109" s="80">
        <v>1</v>
      </c>
      <c r="G109" s="23">
        <v>27.14</v>
      </c>
      <c r="H109" s="23">
        <f>ROUND(ROUND(G109 * J11, 2) + G109, 2)</f>
        <v>34.4</v>
      </c>
      <c r="I109" s="23">
        <f t="shared" si="1"/>
        <v>34.4</v>
      </c>
      <c r="J109" s="39">
        <f>I109 / J10</f>
        <v>1.8287974946750227E-5</v>
      </c>
    </row>
    <row r="110" spans="1:10" ht="39" customHeight="1" x14ac:dyDescent="0.2">
      <c r="A110" s="38" t="s">
        <v>269</v>
      </c>
      <c r="B110" s="21" t="s">
        <v>270</v>
      </c>
      <c r="C110" s="21" t="s">
        <v>27</v>
      </c>
      <c r="D110" s="21" t="s">
        <v>271</v>
      </c>
      <c r="E110" s="22" t="s">
        <v>240</v>
      </c>
      <c r="F110" s="80">
        <v>1</v>
      </c>
      <c r="G110" s="23">
        <v>16.260000000000002</v>
      </c>
      <c r="H110" s="23">
        <f>ROUND(ROUND(G110 * J11, 2) + G110, 2)</f>
        <v>20.61</v>
      </c>
      <c r="I110" s="23">
        <f t="shared" si="1"/>
        <v>20.61</v>
      </c>
      <c r="J110" s="39">
        <f>I110 / J10</f>
        <v>1.0956836152689598E-5</v>
      </c>
    </row>
    <row r="111" spans="1:10" ht="26.1" customHeight="1" x14ac:dyDescent="0.2">
      <c r="A111" s="38" t="s">
        <v>272</v>
      </c>
      <c r="B111" s="21" t="s">
        <v>273</v>
      </c>
      <c r="C111" s="21" t="s">
        <v>23</v>
      </c>
      <c r="D111" s="21" t="s">
        <v>274</v>
      </c>
      <c r="E111" s="22" t="s">
        <v>240</v>
      </c>
      <c r="F111" s="80">
        <v>1</v>
      </c>
      <c r="G111" s="23">
        <v>50.5</v>
      </c>
      <c r="H111" s="23">
        <f>ROUND(ROUND(G111 * J11, 2) + G111, 2)</f>
        <v>64</v>
      </c>
      <c r="I111" s="23">
        <f t="shared" si="1"/>
        <v>64</v>
      </c>
      <c r="J111" s="39">
        <f>I111 / J10</f>
        <v>3.4024139435814374E-5</v>
      </c>
    </row>
    <row r="112" spans="1:10" ht="24" customHeight="1" x14ac:dyDescent="0.2">
      <c r="A112" s="74" t="s">
        <v>275</v>
      </c>
      <c r="B112" s="75" t="s">
        <v>13</v>
      </c>
      <c r="C112" s="75"/>
      <c r="D112" s="75" t="s">
        <v>276</v>
      </c>
      <c r="E112" s="76"/>
      <c r="F112" s="77">
        <v>1</v>
      </c>
      <c r="G112" s="77" t="s">
        <v>15</v>
      </c>
      <c r="H112" s="78">
        <f>I113</f>
        <v>2488.66</v>
      </c>
      <c r="I112" s="78">
        <f t="shared" si="1"/>
        <v>2488.66</v>
      </c>
      <c r="J112" s="79">
        <f>I112 / J10</f>
        <v>1.3230392945052156E-3</v>
      </c>
    </row>
    <row r="113" spans="1:10" ht="39" customHeight="1" x14ac:dyDescent="0.2">
      <c r="A113" s="38" t="s">
        <v>277</v>
      </c>
      <c r="B113" s="21" t="s">
        <v>278</v>
      </c>
      <c r="C113" s="21" t="s">
        <v>27</v>
      </c>
      <c r="D113" s="21" t="s">
        <v>279</v>
      </c>
      <c r="E113" s="22" t="s">
        <v>68</v>
      </c>
      <c r="F113" s="80">
        <v>394.4</v>
      </c>
      <c r="G113" s="23">
        <v>4.9800000000000004</v>
      </c>
      <c r="H113" s="23">
        <f>ROUND(ROUND(G113 * J11, 2) + G113, 2)</f>
        <v>6.31</v>
      </c>
      <c r="I113" s="23">
        <f t="shared" si="1"/>
        <v>2488.66</v>
      </c>
      <c r="J113" s="39">
        <f>I113 / J10</f>
        <v>1.3230392945052156E-3</v>
      </c>
    </row>
    <row r="114" spans="1:10" ht="24" customHeight="1" x14ac:dyDescent="0.2">
      <c r="A114" s="74" t="s">
        <v>280</v>
      </c>
      <c r="B114" s="75" t="s">
        <v>13</v>
      </c>
      <c r="C114" s="75"/>
      <c r="D114" s="75" t="s">
        <v>281</v>
      </c>
      <c r="E114" s="76"/>
      <c r="F114" s="77">
        <v>1</v>
      </c>
      <c r="G114" s="77" t="s">
        <v>15</v>
      </c>
      <c r="H114" s="78">
        <f>I115 + I116</f>
        <v>3175.68</v>
      </c>
      <c r="I114" s="78">
        <f t="shared" si="1"/>
        <v>3175.68</v>
      </c>
      <c r="J114" s="79">
        <f>I114 / J10</f>
        <v>1.6882777988051093E-3</v>
      </c>
    </row>
    <row r="115" spans="1:10" ht="39" customHeight="1" x14ac:dyDescent="0.2">
      <c r="A115" s="38" t="s">
        <v>282</v>
      </c>
      <c r="B115" s="21" t="s">
        <v>283</v>
      </c>
      <c r="C115" s="21" t="s">
        <v>27</v>
      </c>
      <c r="D115" s="21" t="s">
        <v>284</v>
      </c>
      <c r="E115" s="22" t="s">
        <v>240</v>
      </c>
      <c r="F115" s="80">
        <v>20</v>
      </c>
      <c r="G115" s="23">
        <v>21.62</v>
      </c>
      <c r="H115" s="23">
        <f>ROUND(ROUND(G115 * J11, 2) + G115, 2)</f>
        <v>27.4</v>
      </c>
      <c r="I115" s="23">
        <f t="shared" si="1"/>
        <v>548</v>
      </c>
      <c r="J115" s="39">
        <f>I115 / J10</f>
        <v>2.9133169391916056E-4</v>
      </c>
    </row>
    <row r="116" spans="1:10" ht="26.1" customHeight="1" x14ac:dyDescent="0.2">
      <c r="A116" s="38" t="s">
        <v>285</v>
      </c>
      <c r="B116" s="21" t="s">
        <v>286</v>
      </c>
      <c r="C116" s="21" t="s">
        <v>154</v>
      </c>
      <c r="D116" s="21" t="s">
        <v>287</v>
      </c>
      <c r="E116" s="22" t="s">
        <v>201</v>
      </c>
      <c r="F116" s="80">
        <v>16</v>
      </c>
      <c r="G116" s="23">
        <v>129.58000000000001</v>
      </c>
      <c r="H116" s="23">
        <f>ROUND(ROUND(G116 * J11, 2) + G116, 2)</f>
        <v>164.23</v>
      </c>
      <c r="I116" s="23">
        <f t="shared" si="1"/>
        <v>2627.68</v>
      </c>
      <c r="J116" s="39">
        <f>I116 / J10</f>
        <v>1.3969461048859487E-3</v>
      </c>
    </row>
    <row r="117" spans="1:10" ht="26.1" customHeight="1" x14ac:dyDescent="0.2">
      <c r="A117" s="74" t="s">
        <v>288</v>
      </c>
      <c r="B117" s="75" t="s">
        <v>13</v>
      </c>
      <c r="C117" s="75"/>
      <c r="D117" s="75" t="s">
        <v>289</v>
      </c>
      <c r="E117" s="76"/>
      <c r="F117" s="77">
        <v>1</v>
      </c>
      <c r="G117" s="77" t="s">
        <v>15</v>
      </c>
      <c r="H117" s="78">
        <f>I118 + I119 + I120 + I121 + I122 + I123</f>
        <v>21136.960000000003</v>
      </c>
      <c r="I117" s="78">
        <f t="shared" si="1"/>
        <v>21136.959999999999</v>
      </c>
      <c r="J117" s="79">
        <f>I117 / J10</f>
        <v>1.1236982410769234E-2</v>
      </c>
    </row>
    <row r="118" spans="1:10" ht="24" customHeight="1" x14ac:dyDescent="0.2">
      <c r="A118" s="38" t="s">
        <v>290</v>
      </c>
      <c r="B118" s="21" t="s">
        <v>291</v>
      </c>
      <c r="C118" s="21" t="s">
        <v>23</v>
      </c>
      <c r="D118" s="21" t="s">
        <v>292</v>
      </c>
      <c r="E118" s="22" t="s">
        <v>240</v>
      </c>
      <c r="F118" s="80">
        <v>13</v>
      </c>
      <c r="G118" s="23">
        <v>8.64</v>
      </c>
      <c r="H118" s="23">
        <f>ROUND(ROUND(G118 * J11, 2) + G118, 2)</f>
        <v>10.95</v>
      </c>
      <c r="I118" s="23">
        <f t="shared" si="1"/>
        <v>142.35</v>
      </c>
      <c r="J118" s="39">
        <f>I118 / J10</f>
        <v>7.5677128885752752E-5</v>
      </c>
    </row>
    <row r="119" spans="1:10" ht="39" customHeight="1" x14ac:dyDescent="0.2">
      <c r="A119" s="38" t="s">
        <v>293</v>
      </c>
      <c r="B119" s="21" t="s">
        <v>294</v>
      </c>
      <c r="C119" s="21" t="s">
        <v>27</v>
      </c>
      <c r="D119" s="21" t="s">
        <v>295</v>
      </c>
      <c r="E119" s="22" t="s">
        <v>240</v>
      </c>
      <c r="F119" s="80">
        <v>16</v>
      </c>
      <c r="G119" s="23">
        <v>27.76</v>
      </c>
      <c r="H119" s="23">
        <f>ROUND(ROUND(G119 * J11, 2) + G119, 2)</f>
        <v>35.18</v>
      </c>
      <c r="I119" s="23">
        <f t="shared" si="1"/>
        <v>562.88</v>
      </c>
      <c r="J119" s="39">
        <f>I119 / J10</f>
        <v>2.9924230633798744E-4</v>
      </c>
    </row>
    <row r="120" spans="1:10" ht="51.95" customHeight="1" x14ac:dyDescent="0.2">
      <c r="A120" s="38" t="s">
        <v>296</v>
      </c>
      <c r="B120" s="21" t="s">
        <v>297</v>
      </c>
      <c r="C120" s="21" t="s">
        <v>18</v>
      </c>
      <c r="D120" s="21" t="s">
        <v>298</v>
      </c>
      <c r="E120" s="22" t="s">
        <v>201</v>
      </c>
      <c r="F120" s="80">
        <v>16</v>
      </c>
      <c r="G120" s="23">
        <v>104.82</v>
      </c>
      <c r="H120" s="23">
        <f>ROUND(ROUND(G120 * J11, 2) + G120, 2)</f>
        <v>132.85</v>
      </c>
      <c r="I120" s="23">
        <f t="shared" si="1"/>
        <v>2125.6</v>
      </c>
      <c r="J120" s="39">
        <f>I120 / J10</f>
        <v>1.1300267310119848E-3</v>
      </c>
    </row>
    <row r="121" spans="1:10" ht="39" customHeight="1" x14ac:dyDescent="0.2">
      <c r="A121" s="38" t="s">
        <v>299</v>
      </c>
      <c r="B121" s="21" t="s">
        <v>300</v>
      </c>
      <c r="C121" s="21" t="s">
        <v>18</v>
      </c>
      <c r="D121" s="21" t="s">
        <v>301</v>
      </c>
      <c r="E121" s="22" t="s">
        <v>47</v>
      </c>
      <c r="F121" s="80">
        <v>215</v>
      </c>
      <c r="G121" s="23">
        <v>64.42</v>
      </c>
      <c r="H121" s="23">
        <f>ROUND(ROUND(G121 * J11, 2) + G121, 2)</f>
        <v>81.650000000000006</v>
      </c>
      <c r="I121" s="23">
        <f t="shared" si="1"/>
        <v>17554.75</v>
      </c>
      <c r="J121" s="39">
        <f>I121 / J10</f>
        <v>9.3325822150134748E-3</v>
      </c>
    </row>
    <row r="122" spans="1:10" ht="26.1" customHeight="1" x14ac:dyDescent="0.2">
      <c r="A122" s="38" t="s">
        <v>302</v>
      </c>
      <c r="B122" s="21" t="s">
        <v>303</v>
      </c>
      <c r="C122" s="21" t="s">
        <v>27</v>
      </c>
      <c r="D122" s="21" t="s">
        <v>304</v>
      </c>
      <c r="E122" s="22" t="s">
        <v>240</v>
      </c>
      <c r="F122" s="80">
        <v>4</v>
      </c>
      <c r="G122" s="23">
        <v>58</v>
      </c>
      <c r="H122" s="23">
        <f>ROUND(ROUND(G122 * J11, 2) + G122, 2)</f>
        <v>73.510000000000005</v>
      </c>
      <c r="I122" s="23">
        <f t="shared" si="1"/>
        <v>294.04000000000002</v>
      </c>
      <c r="J122" s="39">
        <f>I122 / J10</f>
        <v>1.5631965562041967E-4</v>
      </c>
    </row>
    <row r="123" spans="1:10" ht="39" customHeight="1" x14ac:dyDescent="0.2">
      <c r="A123" s="38" t="s">
        <v>305</v>
      </c>
      <c r="B123" s="21" t="s">
        <v>294</v>
      </c>
      <c r="C123" s="21" t="s">
        <v>27</v>
      </c>
      <c r="D123" s="21" t="s">
        <v>295</v>
      </c>
      <c r="E123" s="22" t="s">
        <v>240</v>
      </c>
      <c r="F123" s="80">
        <v>13</v>
      </c>
      <c r="G123" s="23">
        <v>27.76</v>
      </c>
      <c r="H123" s="23">
        <f>ROUND(ROUND(G123 * J11, 2) + G123, 2)</f>
        <v>35.18</v>
      </c>
      <c r="I123" s="23">
        <f t="shared" si="1"/>
        <v>457.34</v>
      </c>
      <c r="J123" s="39">
        <f>I123 / J10</f>
        <v>2.4313437389961477E-4</v>
      </c>
    </row>
    <row r="124" spans="1:10" ht="24" customHeight="1" x14ac:dyDescent="0.2">
      <c r="A124" s="74" t="s">
        <v>306</v>
      </c>
      <c r="B124" s="75" t="s">
        <v>13</v>
      </c>
      <c r="C124" s="75"/>
      <c r="D124" s="75" t="s">
        <v>307</v>
      </c>
      <c r="E124" s="76"/>
      <c r="F124" s="77">
        <v>1</v>
      </c>
      <c r="G124" s="77" t="s">
        <v>15</v>
      </c>
      <c r="H124" s="78">
        <f>I125 + I126 + I127</f>
        <v>11699.94</v>
      </c>
      <c r="I124" s="78">
        <f t="shared" si="1"/>
        <v>11699.94</v>
      </c>
      <c r="J124" s="79">
        <f>I124 / J10</f>
        <v>6.2200060929790942E-3</v>
      </c>
    </row>
    <row r="125" spans="1:10" ht="39" customHeight="1" x14ac:dyDescent="0.2">
      <c r="A125" s="38" t="s">
        <v>308</v>
      </c>
      <c r="B125" s="21" t="s">
        <v>309</v>
      </c>
      <c r="C125" s="21" t="s">
        <v>18</v>
      </c>
      <c r="D125" s="21" t="s">
        <v>310</v>
      </c>
      <c r="E125" s="22" t="s">
        <v>201</v>
      </c>
      <c r="F125" s="80">
        <v>1</v>
      </c>
      <c r="G125" s="23">
        <v>1614.71</v>
      </c>
      <c r="H125" s="23">
        <f>ROUND(ROUND(G125 * J11, 2) + G125, 2)</f>
        <v>2046.48</v>
      </c>
      <c r="I125" s="23">
        <f t="shared" si="1"/>
        <v>2046.48</v>
      </c>
      <c r="J125" s="39">
        <f>I125 / J10</f>
        <v>1.0879643886344593E-3</v>
      </c>
    </row>
    <row r="126" spans="1:10" ht="39" customHeight="1" x14ac:dyDescent="0.2">
      <c r="A126" s="38" t="s">
        <v>311</v>
      </c>
      <c r="B126" s="21" t="s">
        <v>312</v>
      </c>
      <c r="C126" s="21" t="s">
        <v>154</v>
      </c>
      <c r="D126" s="21" t="s">
        <v>313</v>
      </c>
      <c r="E126" s="22" t="s">
        <v>314</v>
      </c>
      <c r="F126" s="80">
        <v>1</v>
      </c>
      <c r="G126" s="23">
        <v>4079.76</v>
      </c>
      <c r="H126" s="23">
        <f>ROUND(ROUND(G126 * J11, 2) + G126, 2)</f>
        <v>5170.6899999999996</v>
      </c>
      <c r="I126" s="23">
        <f t="shared" si="1"/>
        <v>5170.6899999999996</v>
      </c>
      <c r="J126" s="39">
        <f>I126 / J10</f>
        <v>2.7488793365526721E-3</v>
      </c>
    </row>
    <row r="127" spans="1:10" ht="39" customHeight="1" x14ac:dyDescent="0.2">
      <c r="A127" s="38" t="s">
        <v>315</v>
      </c>
      <c r="B127" s="21" t="s">
        <v>316</v>
      </c>
      <c r="C127" s="21" t="s">
        <v>27</v>
      </c>
      <c r="D127" s="21" t="s">
        <v>317</v>
      </c>
      <c r="E127" s="22" t="s">
        <v>240</v>
      </c>
      <c r="F127" s="80">
        <v>1</v>
      </c>
      <c r="G127" s="23">
        <v>3536.98</v>
      </c>
      <c r="H127" s="23">
        <f>ROUND(ROUND(G127 * J11, 2) + G127, 2)</f>
        <v>4482.7700000000004</v>
      </c>
      <c r="I127" s="23">
        <f t="shared" si="1"/>
        <v>4482.7700000000004</v>
      </c>
      <c r="J127" s="39">
        <f>I127 / J10</f>
        <v>2.383162367791963E-3</v>
      </c>
    </row>
    <row r="128" spans="1:10" ht="24" customHeight="1" x14ac:dyDescent="0.2">
      <c r="A128" s="36" t="s">
        <v>318</v>
      </c>
      <c r="B128" s="17" t="s">
        <v>13</v>
      </c>
      <c r="C128" s="17"/>
      <c r="D128" s="17" t="s">
        <v>319</v>
      </c>
      <c r="E128" s="18"/>
      <c r="F128" s="19">
        <v>1</v>
      </c>
      <c r="G128" s="19" t="s">
        <v>15</v>
      </c>
      <c r="H128" s="20">
        <f>I129 + I138 + I147 + I158 + I161 + I164 + I190 + I207 + I227 + I284 + I294 + I301 + I308 + I335 + I350 + I356</f>
        <v>810668.91999999993</v>
      </c>
      <c r="I128" s="20">
        <f t="shared" si="1"/>
        <v>810668.92</v>
      </c>
      <c r="J128" s="37">
        <f>I128 / J10</f>
        <v>0.43097363078689138</v>
      </c>
    </row>
    <row r="129" spans="1:10" ht="24" customHeight="1" x14ac:dyDescent="0.2">
      <c r="A129" s="74" t="s">
        <v>320</v>
      </c>
      <c r="B129" s="75" t="s">
        <v>13</v>
      </c>
      <c r="C129" s="75"/>
      <c r="D129" s="75" t="s">
        <v>321</v>
      </c>
      <c r="E129" s="76"/>
      <c r="F129" s="77">
        <v>1</v>
      </c>
      <c r="G129" s="77" t="s">
        <v>15</v>
      </c>
      <c r="H129" s="78">
        <f>I130 + I131 + I132 + I133 + I134 + I135 + I136 + I137</f>
        <v>26282.29</v>
      </c>
      <c r="I129" s="78">
        <f t="shared" si="1"/>
        <v>26282.29</v>
      </c>
      <c r="J129" s="79">
        <f>I129 / J10</f>
        <v>1.3972379682070466E-2</v>
      </c>
    </row>
    <row r="130" spans="1:10" ht="51.95" customHeight="1" x14ac:dyDescent="0.2">
      <c r="A130" s="38" t="s">
        <v>322</v>
      </c>
      <c r="B130" s="21" t="s">
        <v>323</v>
      </c>
      <c r="C130" s="21" t="s">
        <v>18</v>
      </c>
      <c r="D130" s="21" t="s">
        <v>324</v>
      </c>
      <c r="E130" s="22" t="s">
        <v>20</v>
      </c>
      <c r="F130" s="80">
        <v>102.06</v>
      </c>
      <c r="G130" s="23">
        <v>20.66</v>
      </c>
      <c r="H130" s="23">
        <f>ROUND(ROUND(G130 * J11, 2) + G130, 2)</f>
        <v>26.18</v>
      </c>
      <c r="I130" s="23">
        <f t="shared" si="1"/>
        <v>2671.93</v>
      </c>
      <c r="J130" s="39">
        <f>I130 / J10</f>
        <v>1.4204706075427421E-3</v>
      </c>
    </row>
    <row r="131" spans="1:10" ht="39" customHeight="1" x14ac:dyDescent="0.2">
      <c r="A131" s="38" t="s">
        <v>325</v>
      </c>
      <c r="B131" s="21" t="s">
        <v>326</v>
      </c>
      <c r="C131" s="21" t="s">
        <v>27</v>
      </c>
      <c r="D131" s="21" t="s">
        <v>327</v>
      </c>
      <c r="E131" s="22" t="s">
        <v>36</v>
      </c>
      <c r="F131" s="80">
        <v>25.8</v>
      </c>
      <c r="G131" s="23">
        <v>115.16</v>
      </c>
      <c r="H131" s="23">
        <f>ROUND(ROUND(G131 * J11, 2) + G131, 2)</f>
        <v>145.94999999999999</v>
      </c>
      <c r="I131" s="23">
        <f t="shared" si="1"/>
        <v>3765.51</v>
      </c>
      <c r="J131" s="39">
        <f>I131 / J10</f>
        <v>2.0018474576086469E-3</v>
      </c>
    </row>
    <row r="132" spans="1:10" ht="65.099999999999994" customHeight="1" x14ac:dyDescent="0.2">
      <c r="A132" s="38" t="s">
        <v>328</v>
      </c>
      <c r="B132" s="21" t="s">
        <v>329</v>
      </c>
      <c r="C132" s="21" t="s">
        <v>18</v>
      </c>
      <c r="D132" s="21" t="s">
        <v>330</v>
      </c>
      <c r="E132" s="22" t="s">
        <v>20</v>
      </c>
      <c r="F132" s="80">
        <v>123.6</v>
      </c>
      <c r="G132" s="23">
        <v>19.43</v>
      </c>
      <c r="H132" s="23">
        <f>ROUND(ROUND(G132 * J11, 2) + G132, 2)</f>
        <v>24.63</v>
      </c>
      <c r="I132" s="23">
        <f t="shared" si="1"/>
        <v>3044.27</v>
      </c>
      <c r="J132" s="39">
        <f>I132 / J10</f>
        <v>1.6184166712541661E-3</v>
      </c>
    </row>
    <row r="133" spans="1:10" ht="26.1" customHeight="1" x14ac:dyDescent="0.2">
      <c r="A133" s="38" t="s">
        <v>331</v>
      </c>
      <c r="B133" s="21" t="s">
        <v>332</v>
      </c>
      <c r="C133" s="21" t="s">
        <v>333</v>
      </c>
      <c r="D133" s="21" t="s">
        <v>334</v>
      </c>
      <c r="E133" s="22" t="s">
        <v>20</v>
      </c>
      <c r="F133" s="80">
        <v>34</v>
      </c>
      <c r="G133" s="23">
        <v>12.03</v>
      </c>
      <c r="H133" s="23">
        <f>ROUND(ROUND(G133 * J11, 2) + G133, 2)</f>
        <v>15.25</v>
      </c>
      <c r="I133" s="23">
        <f t="shared" si="1"/>
        <v>518.5</v>
      </c>
      <c r="J133" s="39">
        <f>I133 / J10</f>
        <v>2.7564869214796489E-4</v>
      </c>
    </row>
    <row r="134" spans="1:10" ht="51.95" customHeight="1" x14ac:dyDescent="0.2">
      <c r="A134" s="38" t="s">
        <v>335</v>
      </c>
      <c r="B134" s="21" t="s">
        <v>336</v>
      </c>
      <c r="C134" s="21" t="s">
        <v>18</v>
      </c>
      <c r="D134" s="21" t="s">
        <v>337</v>
      </c>
      <c r="E134" s="22" t="s">
        <v>20</v>
      </c>
      <c r="F134" s="80">
        <v>13.8</v>
      </c>
      <c r="G134" s="23">
        <v>14.72</v>
      </c>
      <c r="H134" s="23">
        <f>ROUND(ROUND(G134 * J11, 2) + G134, 2)</f>
        <v>18.66</v>
      </c>
      <c r="I134" s="23">
        <f t="shared" si="1"/>
        <v>257.51</v>
      </c>
      <c r="J134" s="39">
        <f>I134 / J10</f>
        <v>1.3689931478307125E-4</v>
      </c>
    </row>
    <row r="135" spans="1:10" ht="51.95" customHeight="1" x14ac:dyDescent="0.2">
      <c r="A135" s="38" t="s">
        <v>338</v>
      </c>
      <c r="B135" s="21" t="s">
        <v>339</v>
      </c>
      <c r="C135" s="21" t="s">
        <v>27</v>
      </c>
      <c r="D135" s="21" t="s">
        <v>340</v>
      </c>
      <c r="E135" s="22" t="s">
        <v>20</v>
      </c>
      <c r="F135" s="80">
        <v>388.7</v>
      </c>
      <c r="G135" s="23">
        <v>16.079999999999998</v>
      </c>
      <c r="H135" s="23">
        <f>ROUND(ROUND(G135 * J11, 2) + G135, 2)</f>
        <v>20.38</v>
      </c>
      <c r="I135" s="23">
        <f t="shared" si="1"/>
        <v>7921.71</v>
      </c>
      <c r="J135" s="39">
        <f>I135 / J10</f>
        <v>4.2113963376575799E-3</v>
      </c>
    </row>
    <row r="136" spans="1:10" ht="26.1" customHeight="1" x14ac:dyDescent="0.2">
      <c r="A136" s="38" t="s">
        <v>341</v>
      </c>
      <c r="B136" s="21" t="s">
        <v>34</v>
      </c>
      <c r="C136" s="21" t="s">
        <v>18</v>
      </c>
      <c r="D136" s="21" t="s">
        <v>35</v>
      </c>
      <c r="E136" s="22" t="s">
        <v>36</v>
      </c>
      <c r="F136" s="80">
        <v>59.65</v>
      </c>
      <c r="G136" s="23">
        <v>60</v>
      </c>
      <c r="H136" s="23">
        <f>ROUND(ROUND(G136 * J11, 2) + G136, 2)</f>
        <v>76.040000000000006</v>
      </c>
      <c r="I136" s="23">
        <f t="shared" si="1"/>
        <v>4535.79</v>
      </c>
      <c r="J136" s="39">
        <f>I136 / J10</f>
        <v>2.4113492408058199E-3</v>
      </c>
    </row>
    <row r="137" spans="1:10" ht="26.1" customHeight="1" x14ac:dyDescent="0.2">
      <c r="A137" s="38" t="s">
        <v>342</v>
      </c>
      <c r="B137" s="21" t="s">
        <v>38</v>
      </c>
      <c r="C137" s="21" t="s">
        <v>18</v>
      </c>
      <c r="D137" s="21" t="s">
        <v>39</v>
      </c>
      <c r="E137" s="22" t="s">
        <v>36</v>
      </c>
      <c r="F137" s="80">
        <v>59.65</v>
      </c>
      <c r="G137" s="23">
        <v>47.18</v>
      </c>
      <c r="H137" s="23">
        <f>ROUND(ROUND(G137 * J11, 2) + G137, 2)</f>
        <v>59.8</v>
      </c>
      <c r="I137" s="23">
        <f t="shared" si="1"/>
        <v>3567.07</v>
      </c>
      <c r="J137" s="39">
        <f>I137 / J10</f>
        <v>1.8963513602704748E-3</v>
      </c>
    </row>
    <row r="138" spans="1:10" ht="24" customHeight="1" x14ac:dyDescent="0.2">
      <c r="A138" s="74" t="s">
        <v>343</v>
      </c>
      <c r="B138" s="75" t="s">
        <v>13</v>
      </c>
      <c r="C138" s="75"/>
      <c r="D138" s="75" t="s">
        <v>344</v>
      </c>
      <c r="E138" s="76"/>
      <c r="F138" s="77">
        <v>1</v>
      </c>
      <c r="G138" s="77" t="s">
        <v>15</v>
      </c>
      <c r="H138" s="78">
        <f>I139 + I140 + I141 + I142 + I143 + I144 + I145 + I146</f>
        <v>77842.960000000006</v>
      </c>
      <c r="I138" s="78">
        <f t="shared" si="1"/>
        <v>77842.960000000006</v>
      </c>
      <c r="J138" s="79">
        <f>I138 / J10</f>
        <v>4.1383433205258141E-2</v>
      </c>
    </row>
    <row r="139" spans="1:10" ht="26.1" customHeight="1" x14ac:dyDescent="0.2">
      <c r="A139" s="38" t="s">
        <v>345</v>
      </c>
      <c r="B139" s="21" t="s">
        <v>159</v>
      </c>
      <c r="C139" s="21" t="s">
        <v>18</v>
      </c>
      <c r="D139" s="21" t="s">
        <v>160</v>
      </c>
      <c r="E139" s="22" t="s">
        <v>36</v>
      </c>
      <c r="F139" s="80">
        <v>22.15</v>
      </c>
      <c r="G139" s="23">
        <v>80.459999999999994</v>
      </c>
      <c r="H139" s="23">
        <f>ROUND(ROUND(G139 * J11, 2) + G139, 2)</f>
        <v>101.98</v>
      </c>
      <c r="I139" s="23">
        <f t="shared" si="1"/>
        <v>2258.86</v>
      </c>
      <c r="J139" s="39">
        <f>I139 / J10</f>
        <v>1.2008713688434946E-3</v>
      </c>
    </row>
    <row r="140" spans="1:10" ht="26.1" customHeight="1" x14ac:dyDescent="0.2">
      <c r="A140" s="38" t="s">
        <v>346</v>
      </c>
      <c r="B140" s="21" t="s">
        <v>347</v>
      </c>
      <c r="C140" s="21" t="s">
        <v>18</v>
      </c>
      <c r="D140" s="21" t="s">
        <v>348</v>
      </c>
      <c r="E140" s="22" t="s">
        <v>36</v>
      </c>
      <c r="F140" s="80">
        <v>2.52</v>
      </c>
      <c r="G140" s="23">
        <v>624.99</v>
      </c>
      <c r="H140" s="23">
        <f>ROUND(ROUND(G140 * J11, 2) + G140, 2)</f>
        <v>792.11</v>
      </c>
      <c r="I140" s="23">
        <f t="shared" si="1"/>
        <v>1996.12</v>
      </c>
      <c r="J140" s="39">
        <f>I140 / J10</f>
        <v>1.061191643915903E-3</v>
      </c>
    </row>
    <row r="141" spans="1:10" ht="26.1" customHeight="1" x14ac:dyDescent="0.2">
      <c r="A141" s="38" t="s">
        <v>349</v>
      </c>
      <c r="B141" s="21" t="s">
        <v>89</v>
      </c>
      <c r="C141" s="21" t="s">
        <v>18</v>
      </c>
      <c r="D141" s="21" t="s">
        <v>90</v>
      </c>
      <c r="E141" s="22" t="s">
        <v>78</v>
      </c>
      <c r="F141" s="80">
        <v>208.2</v>
      </c>
      <c r="G141" s="23">
        <v>14.36</v>
      </c>
      <c r="H141" s="23">
        <f>ROUND(ROUND(G141 * J11, 2) + G141, 2)</f>
        <v>18.2</v>
      </c>
      <c r="I141" s="23">
        <f t="shared" ref="I141:I204" si="2">ROUND(F141 * H141,2)</f>
        <v>3789.24</v>
      </c>
      <c r="J141" s="39">
        <f>I141 / J10</f>
        <v>2.0144629705588319E-3</v>
      </c>
    </row>
    <row r="142" spans="1:10" ht="26.1" customHeight="1" x14ac:dyDescent="0.2">
      <c r="A142" s="38" t="s">
        <v>350</v>
      </c>
      <c r="B142" s="21" t="s">
        <v>162</v>
      </c>
      <c r="C142" s="21" t="s">
        <v>18</v>
      </c>
      <c r="D142" s="21" t="s">
        <v>163</v>
      </c>
      <c r="E142" s="22" t="s">
        <v>78</v>
      </c>
      <c r="F142" s="80">
        <v>666.34</v>
      </c>
      <c r="G142" s="23">
        <v>13.6</v>
      </c>
      <c r="H142" s="23">
        <f>ROUND(ROUND(G142 * J11, 2) + G142, 2)</f>
        <v>17.239999999999998</v>
      </c>
      <c r="I142" s="23">
        <f t="shared" si="2"/>
        <v>11487.7</v>
      </c>
      <c r="J142" s="39">
        <f>I142 / J10</f>
        <v>6.1071735405750756E-3</v>
      </c>
    </row>
    <row r="143" spans="1:10" ht="39" customHeight="1" x14ac:dyDescent="0.2">
      <c r="A143" s="38" t="s">
        <v>351</v>
      </c>
      <c r="B143" s="21" t="s">
        <v>73</v>
      </c>
      <c r="C143" s="21" t="s">
        <v>18</v>
      </c>
      <c r="D143" s="21" t="s">
        <v>74</v>
      </c>
      <c r="E143" s="22" t="s">
        <v>20</v>
      </c>
      <c r="F143" s="80">
        <v>161.37</v>
      </c>
      <c r="G143" s="23">
        <v>73.319999999999993</v>
      </c>
      <c r="H143" s="23">
        <f>ROUND(ROUND(G143 * J11, 2) + G143, 2)</f>
        <v>92.93</v>
      </c>
      <c r="I143" s="23">
        <f t="shared" si="2"/>
        <v>14996.11</v>
      </c>
      <c r="J143" s="39">
        <f>I143 / J10</f>
        <v>7.9723396505439106E-3</v>
      </c>
    </row>
    <row r="144" spans="1:10" ht="39" customHeight="1" x14ac:dyDescent="0.2">
      <c r="A144" s="38" t="s">
        <v>352</v>
      </c>
      <c r="B144" s="21" t="s">
        <v>92</v>
      </c>
      <c r="C144" s="21" t="s">
        <v>18</v>
      </c>
      <c r="D144" s="21" t="s">
        <v>93</v>
      </c>
      <c r="E144" s="22" t="s">
        <v>36</v>
      </c>
      <c r="F144" s="80">
        <v>22.15</v>
      </c>
      <c r="G144" s="23">
        <v>718.42</v>
      </c>
      <c r="H144" s="23">
        <f>ROUND(ROUND(G144 * J11, 2) + G144, 2)</f>
        <v>910.53</v>
      </c>
      <c r="I144" s="23">
        <f t="shared" si="2"/>
        <v>20168.240000000002</v>
      </c>
      <c r="J144" s="39">
        <f>I144 / J10</f>
        <v>1.072198453023389E-2</v>
      </c>
    </row>
    <row r="145" spans="1:10" ht="26.1" customHeight="1" x14ac:dyDescent="0.2">
      <c r="A145" s="38" t="s">
        <v>353</v>
      </c>
      <c r="B145" s="21" t="s">
        <v>174</v>
      </c>
      <c r="C145" s="21" t="s">
        <v>27</v>
      </c>
      <c r="D145" s="21" t="s">
        <v>175</v>
      </c>
      <c r="E145" s="22" t="s">
        <v>36</v>
      </c>
      <c r="F145" s="80">
        <v>141.32</v>
      </c>
      <c r="G145" s="23">
        <v>83.12</v>
      </c>
      <c r="H145" s="23">
        <f>ROUND(ROUND(G145 * J11, 2) + G145, 2)</f>
        <v>105.35</v>
      </c>
      <c r="I145" s="23">
        <f t="shared" si="2"/>
        <v>14888.06</v>
      </c>
      <c r="J145" s="39">
        <f>I145 / J10</f>
        <v>7.9148973338870401E-3</v>
      </c>
    </row>
    <row r="146" spans="1:10" ht="26.1" customHeight="1" x14ac:dyDescent="0.2">
      <c r="A146" s="38" t="s">
        <v>354</v>
      </c>
      <c r="B146" s="21" t="s">
        <v>171</v>
      </c>
      <c r="C146" s="21" t="s">
        <v>18</v>
      </c>
      <c r="D146" s="21" t="s">
        <v>172</v>
      </c>
      <c r="E146" s="22" t="s">
        <v>20</v>
      </c>
      <c r="F146" s="80">
        <v>193.32</v>
      </c>
      <c r="G146" s="23">
        <v>33.71</v>
      </c>
      <c r="H146" s="23">
        <f>ROUND(ROUND(G146 * J11, 2) + G146, 2)</f>
        <v>42.72</v>
      </c>
      <c r="I146" s="23">
        <f t="shared" si="2"/>
        <v>8258.6299999999992</v>
      </c>
      <c r="J146" s="39">
        <f>I146 / J10</f>
        <v>4.3905121666999941E-3</v>
      </c>
    </row>
    <row r="147" spans="1:10" ht="24" customHeight="1" x14ac:dyDescent="0.2">
      <c r="A147" s="74" t="s">
        <v>355</v>
      </c>
      <c r="B147" s="75" t="s">
        <v>13</v>
      </c>
      <c r="C147" s="75"/>
      <c r="D147" s="75" t="s">
        <v>356</v>
      </c>
      <c r="E147" s="76"/>
      <c r="F147" s="77">
        <v>1</v>
      </c>
      <c r="G147" s="77" t="s">
        <v>15</v>
      </c>
      <c r="H147" s="78">
        <f>I148 + I149 + I150 + I151 + I152 + I153 + I154 + I155 + I156 + I157</f>
        <v>92895.010000000024</v>
      </c>
      <c r="I147" s="78">
        <f t="shared" si="2"/>
        <v>92895.01</v>
      </c>
      <c r="J147" s="79">
        <f>I147 / J10</f>
        <v>4.9385512080177663E-2</v>
      </c>
    </row>
    <row r="148" spans="1:10" ht="39" customHeight="1" x14ac:dyDescent="0.2">
      <c r="A148" s="38" t="s">
        <v>357</v>
      </c>
      <c r="B148" s="21" t="s">
        <v>99</v>
      </c>
      <c r="C148" s="21" t="s">
        <v>18</v>
      </c>
      <c r="D148" s="21" t="s">
        <v>100</v>
      </c>
      <c r="E148" s="22" t="s">
        <v>20</v>
      </c>
      <c r="F148" s="80">
        <v>247.85</v>
      </c>
      <c r="G148" s="23">
        <v>58.06</v>
      </c>
      <c r="H148" s="23">
        <f>ROUND(ROUND(G148 * J11, 2) + G148, 2)</f>
        <v>73.59</v>
      </c>
      <c r="I148" s="23">
        <f t="shared" si="2"/>
        <v>18239.28</v>
      </c>
      <c r="J148" s="39">
        <f>I148 / J10</f>
        <v>9.696496967638444E-3</v>
      </c>
    </row>
    <row r="149" spans="1:10" ht="26.1" customHeight="1" x14ac:dyDescent="0.2">
      <c r="A149" s="38" t="s">
        <v>358</v>
      </c>
      <c r="B149" s="21" t="s">
        <v>89</v>
      </c>
      <c r="C149" s="21" t="s">
        <v>18</v>
      </c>
      <c r="D149" s="21" t="s">
        <v>90</v>
      </c>
      <c r="E149" s="22" t="s">
        <v>78</v>
      </c>
      <c r="F149" s="80">
        <v>379.4</v>
      </c>
      <c r="G149" s="23">
        <v>14.36</v>
      </c>
      <c r="H149" s="23">
        <f>ROUND(ROUND(G149 * J11, 2) + G149, 2)</f>
        <v>18.2</v>
      </c>
      <c r="I149" s="23">
        <f t="shared" si="2"/>
        <v>6905.08</v>
      </c>
      <c r="J149" s="39">
        <f>I149 / J10</f>
        <v>3.6709281989914552E-3</v>
      </c>
    </row>
    <row r="150" spans="1:10" ht="26.1" customHeight="1" x14ac:dyDescent="0.2">
      <c r="A150" s="38" t="s">
        <v>359</v>
      </c>
      <c r="B150" s="21" t="s">
        <v>162</v>
      </c>
      <c r="C150" s="21" t="s">
        <v>18</v>
      </c>
      <c r="D150" s="21" t="s">
        <v>163</v>
      </c>
      <c r="E150" s="22" t="s">
        <v>78</v>
      </c>
      <c r="F150" s="80">
        <v>1019.7</v>
      </c>
      <c r="G150" s="23">
        <v>13.6</v>
      </c>
      <c r="H150" s="23">
        <f>ROUND(ROUND(G150 * J11, 2) + G150, 2)</f>
        <v>17.239999999999998</v>
      </c>
      <c r="I150" s="23">
        <f t="shared" si="2"/>
        <v>17579.63</v>
      </c>
      <c r="J150" s="39">
        <f>I150 / J10</f>
        <v>9.3458090992191486E-3</v>
      </c>
    </row>
    <row r="151" spans="1:10" ht="39" customHeight="1" x14ac:dyDescent="0.2">
      <c r="A151" s="38" t="s">
        <v>360</v>
      </c>
      <c r="B151" s="21" t="s">
        <v>106</v>
      </c>
      <c r="C151" s="21" t="s">
        <v>18</v>
      </c>
      <c r="D151" s="21" t="s">
        <v>107</v>
      </c>
      <c r="E151" s="22" t="s">
        <v>36</v>
      </c>
      <c r="F151" s="80">
        <v>16.63</v>
      </c>
      <c r="G151" s="23">
        <v>698.55</v>
      </c>
      <c r="H151" s="23">
        <f>ROUND(ROUND(G151 * J11, 2) + G151, 2)</f>
        <v>885.34</v>
      </c>
      <c r="I151" s="23">
        <f t="shared" si="2"/>
        <v>14723.2</v>
      </c>
      <c r="J151" s="39">
        <f>I151 / J10</f>
        <v>7.827253277209097E-3</v>
      </c>
    </row>
    <row r="152" spans="1:10" ht="78" customHeight="1" x14ac:dyDescent="0.2">
      <c r="A152" s="38" t="s">
        <v>361</v>
      </c>
      <c r="B152" s="21" t="s">
        <v>362</v>
      </c>
      <c r="C152" s="21" t="s">
        <v>18</v>
      </c>
      <c r="D152" s="21" t="s">
        <v>363</v>
      </c>
      <c r="E152" s="22" t="s">
        <v>20</v>
      </c>
      <c r="F152" s="80">
        <v>131.6</v>
      </c>
      <c r="G152" s="23">
        <v>136.11000000000001</v>
      </c>
      <c r="H152" s="23">
        <f>ROUND(ROUND(G152 * J11, 2) + G152, 2)</f>
        <v>172.51</v>
      </c>
      <c r="I152" s="23">
        <f t="shared" si="2"/>
        <v>22702.32</v>
      </c>
      <c r="J152" s="39">
        <f>I152 / J10</f>
        <v>1.2069170331194959E-2</v>
      </c>
    </row>
    <row r="153" spans="1:10" ht="78" customHeight="1" x14ac:dyDescent="0.2">
      <c r="A153" s="38" t="s">
        <v>364</v>
      </c>
      <c r="B153" s="21" t="s">
        <v>365</v>
      </c>
      <c r="C153" s="21" t="s">
        <v>18</v>
      </c>
      <c r="D153" s="21" t="s">
        <v>366</v>
      </c>
      <c r="E153" s="22" t="s">
        <v>20</v>
      </c>
      <c r="F153" s="80">
        <v>7</v>
      </c>
      <c r="G153" s="23">
        <v>136.11000000000001</v>
      </c>
      <c r="H153" s="23">
        <f>ROUND(ROUND(G153 * J11, 2) + G153, 2)</f>
        <v>172.51</v>
      </c>
      <c r="I153" s="23">
        <f t="shared" si="2"/>
        <v>1207.57</v>
      </c>
      <c r="J153" s="39">
        <f>I153 / J10</f>
        <v>6.4197703216416191E-4</v>
      </c>
    </row>
    <row r="154" spans="1:10" ht="51.95" customHeight="1" x14ac:dyDescent="0.2">
      <c r="A154" s="38" t="s">
        <v>367</v>
      </c>
      <c r="B154" s="21" t="s">
        <v>368</v>
      </c>
      <c r="C154" s="21" t="s">
        <v>18</v>
      </c>
      <c r="D154" s="21" t="s">
        <v>369</v>
      </c>
      <c r="E154" s="22" t="s">
        <v>370</v>
      </c>
      <c r="F154" s="80">
        <v>138.6</v>
      </c>
      <c r="G154" s="23">
        <v>23.55</v>
      </c>
      <c r="H154" s="23">
        <f>ROUND(ROUND(G154 * J11, 2) + G154, 2)</f>
        <v>29.85</v>
      </c>
      <c r="I154" s="23">
        <f t="shared" si="2"/>
        <v>4137.21</v>
      </c>
      <c r="J154" s="39">
        <f>I154 / J10</f>
        <v>2.1994532799257125E-3</v>
      </c>
    </row>
    <row r="155" spans="1:10" ht="26.1" customHeight="1" x14ac:dyDescent="0.2">
      <c r="A155" s="38" t="s">
        <v>371</v>
      </c>
      <c r="B155" s="21" t="s">
        <v>372</v>
      </c>
      <c r="C155" s="21" t="s">
        <v>27</v>
      </c>
      <c r="D155" s="21" t="s">
        <v>373</v>
      </c>
      <c r="E155" s="22" t="s">
        <v>68</v>
      </c>
      <c r="F155" s="80">
        <v>36.86</v>
      </c>
      <c r="G155" s="23">
        <v>63.39</v>
      </c>
      <c r="H155" s="23">
        <f>ROUND(ROUND(G155 * J11, 2) + G155, 2)</f>
        <v>80.34</v>
      </c>
      <c r="I155" s="23">
        <f t="shared" si="2"/>
        <v>2961.33</v>
      </c>
      <c r="J155" s="39">
        <f>I155 / J10</f>
        <v>1.5743235130540652E-3</v>
      </c>
    </row>
    <row r="156" spans="1:10" ht="26.1" customHeight="1" x14ac:dyDescent="0.2">
      <c r="A156" s="38" t="s">
        <v>374</v>
      </c>
      <c r="B156" s="21" t="s">
        <v>375</v>
      </c>
      <c r="C156" s="21" t="s">
        <v>27</v>
      </c>
      <c r="D156" s="21" t="s">
        <v>376</v>
      </c>
      <c r="E156" s="22" t="s">
        <v>68</v>
      </c>
      <c r="F156" s="80">
        <v>27.16</v>
      </c>
      <c r="G156" s="23">
        <v>50.75</v>
      </c>
      <c r="H156" s="23">
        <f>ROUND(ROUND(G156 * J11, 2) + G156, 2)</f>
        <v>64.319999999999993</v>
      </c>
      <c r="I156" s="23">
        <f t="shared" si="2"/>
        <v>1746.93</v>
      </c>
      <c r="J156" s="39">
        <f>I156 / J10</f>
        <v>9.287154672594876E-4</v>
      </c>
    </row>
    <row r="157" spans="1:10" ht="26.1" customHeight="1" x14ac:dyDescent="0.2">
      <c r="A157" s="38" t="s">
        <v>377</v>
      </c>
      <c r="B157" s="21" t="s">
        <v>378</v>
      </c>
      <c r="C157" s="21" t="s">
        <v>18</v>
      </c>
      <c r="D157" s="21" t="s">
        <v>379</v>
      </c>
      <c r="E157" s="22" t="s">
        <v>36</v>
      </c>
      <c r="F157" s="80">
        <v>0.64</v>
      </c>
      <c r="G157" s="23">
        <v>3319.37</v>
      </c>
      <c r="H157" s="23">
        <f>ROUND(ROUND(G157 * J11, 2) + G157, 2)</f>
        <v>4206.97</v>
      </c>
      <c r="I157" s="23">
        <f t="shared" si="2"/>
        <v>2692.46</v>
      </c>
      <c r="J157" s="39">
        <f>I157 / J10</f>
        <v>1.4313849135211372E-3</v>
      </c>
    </row>
    <row r="158" spans="1:10" ht="24" customHeight="1" x14ac:dyDescent="0.2">
      <c r="A158" s="74" t="s">
        <v>380</v>
      </c>
      <c r="B158" s="75" t="s">
        <v>13</v>
      </c>
      <c r="C158" s="75"/>
      <c r="D158" s="75" t="s">
        <v>381</v>
      </c>
      <c r="E158" s="76"/>
      <c r="F158" s="77">
        <v>1</v>
      </c>
      <c r="G158" s="77" t="s">
        <v>15</v>
      </c>
      <c r="H158" s="78">
        <f>I159 + I160</f>
        <v>46354.45</v>
      </c>
      <c r="I158" s="78">
        <f t="shared" si="2"/>
        <v>46354.45</v>
      </c>
      <c r="J158" s="79">
        <f>I158 / J10</f>
        <v>2.4643285472976336E-2</v>
      </c>
    </row>
    <row r="159" spans="1:10" ht="39" customHeight="1" x14ac:dyDescent="0.2">
      <c r="A159" s="38" t="s">
        <v>382</v>
      </c>
      <c r="B159" s="21" t="s">
        <v>383</v>
      </c>
      <c r="C159" s="21" t="s">
        <v>18</v>
      </c>
      <c r="D159" s="21" t="s">
        <v>384</v>
      </c>
      <c r="E159" s="22" t="s">
        <v>20</v>
      </c>
      <c r="F159" s="81">
        <v>395.73</v>
      </c>
      <c r="G159" s="23">
        <v>74.28</v>
      </c>
      <c r="H159" s="23">
        <f>ROUND(ROUND(G159 * J11, 2) + G159, 2)</f>
        <v>94.14</v>
      </c>
      <c r="I159" s="23">
        <f t="shared" si="2"/>
        <v>37254.019999999997</v>
      </c>
      <c r="J159" s="39">
        <f>I159 / J10</f>
        <v>1.9805249547259644E-2</v>
      </c>
    </row>
    <row r="160" spans="1:10" ht="51.95" customHeight="1" x14ac:dyDescent="0.2">
      <c r="A160" s="38" t="s">
        <v>385</v>
      </c>
      <c r="B160" s="21" t="s">
        <v>386</v>
      </c>
      <c r="C160" s="21" t="s">
        <v>18</v>
      </c>
      <c r="D160" s="21" t="s">
        <v>387</v>
      </c>
      <c r="E160" s="22" t="s">
        <v>20</v>
      </c>
      <c r="F160" s="81">
        <v>45.55</v>
      </c>
      <c r="G160" s="23">
        <v>157.63999999999999</v>
      </c>
      <c r="H160" s="23">
        <f>ROUND(ROUND(G160 * J11, 2) + G160, 2)</f>
        <v>199.79</v>
      </c>
      <c r="I160" s="23">
        <f t="shared" si="2"/>
        <v>9100.43</v>
      </c>
      <c r="J160" s="39">
        <f>I160 / J10</f>
        <v>4.8380359257166909E-3</v>
      </c>
    </row>
    <row r="161" spans="1:10" ht="24" customHeight="1" x14ac:dyDescent="0.2">
      <c r="A161" s="74" t="s">
        <v>388</v>
      </c>
      <c r="B161" s="75" t="s">
        <v>13</v>
      </c>
      <c r="C161" s="75"/>
      <c r="D161" s="75" t="s">
        <v>389</v>
      </c>
      <c r="E161" s="76"/>
      <c r="F161" s="77">
        <v>1</v>
      </c>
      <c r="G161" s="77" t="s">
        <v>15</v>
      </c>
      <c r="H161" s="78">
        <f>I162 + I163</f>
        <v>55072.480000000003</v>
      </c>
      <c r="I161" s="78">
        <f t="shared" si="2"/>
        <v>55072.480000000003</v>
      </c>
      <c r="J161" s="79">
        <f>I161 / J10</f>
        <v>2.927802716556404E-2</v>
      </c>
    </row>
    <row r="162" spans="1:10" ht="26.1" customHeight="1" x14ac:dyDescent="0.2">
      <c r="A162" s="38" t="s">
        <v>390</v>
      </c>
      <c r="B162" s="21" t="s">
        <v>125</v>
      </c>
      <c r="C162" s="21" t="s">
        <v>27</v>
      </c>
      <c r="D162" s="21" t="s">
        <v>126</v>
      </c>
      <c r="E162" s="22" t="s">
        <v>20</v>
      </c>
      <c r="F162" s="81">
        <v>411.48</v>
      </c>
      <c r="G162" s="23">
        <v>55.87</v>
      </c>
      <c r="H162" s="23">
        <f>ROUND(ROUND(G162 * J11, 2) + G162, 2)</f>
        <v>70.81</v>
      </c>
      <c r="I162" s="23">
        <f t="shared" si="2"/>
        <v>29136.9</v>
      </c>
      <c r="J162" s="39">
        <f>I162 / J10</f>
        <v>1.5489967942615311E-2</v>
      </c>
    </row>
    <row r="163" spans="1:10" ht="51.95" customHeight="1" x14ac:dyDescent="0.2">
      <c r="A163" s="38" t="s">
        <v>391</v>
      </c>
      <c r="B163" s="21" t="s">
        <v>392</v>
      </c>
      <c r="C163" s="21" t="s">
        <v>27</v>
      </c>
      <c r="D163" s="21" t="s">
        <v>393</v>
      </c>
      <c r="E163" s="22" t="s">
        <v>20</v>
      </c>
      <c r="F163" s="81">
        <v>411.48</v>
      </c>
      <c r="G163" s="23">
        <v>49.73</v>
      </c>
      <c r="H163" s="23">
        <f>ROUND(ROUND(G163 * J11, 2) + G163, 2)</f>
        <v>63.03</v>
      </c>
      <c r="I163" s="23">
        <f t="shared" si="2"/>
        <v>25935.58</v>
      </c>
      <c r="J163" s="39">
        <f>I163 / J10</f>
        <v>1.3788059222948729E-2</v>
      </c>
    </row>
    <row r="164" spans="1:10" ht="24" customHeight="1" x14ac:dyDescent="0.2">
      <c r="A164" s="74" t="s">
        <v>394</v>
      </c>
      <c r="B164" s="75" t="s">
        <v>13</v>
      </c>
      <c r="C164" s="75"/>
      <c r="D164" s="75" t="s">
        <v>395</v>
      </c>
      <c r="E164" s="76"/>
      <c r="F164" s="77">
        <v>1</v>
      </c>
      <c r="G164" s="77" t="s">
        <v>15</v>
      </c>
      <c r="H164" s="78">
        <f>I165 + I169</f>
        <v>19747.66</v>
      </c>
      <c r="I164" s="78">
        <f t="shared" si="2"/>
        <v>19747.66</v>
      </c>
      <c r="J164" s="79">
        <f>I164 / J10</f>
        <v>1.049839277142272E-2</v>
      </c>
    </row>
    <row r="165" spans="1:10" ht="24" customHeight="1" x14ac:dyDescent="0.2">
      <c r="A165" s="74" t="s">
        <v>396</v>
      </c>
      <c r="B165" s="75" t="s">
        <v>13</v>
      </c>
      <c r="C165" s="75"/>
      <c r="D165" s="75" t="s">
        <v>14</v>
      </c>
      <c r="E165" s="76"/>
      <c r="F165" s="77">
        <v>1</v>
      </c>
      <c r="G165" s="77" t="s">
        <v>15</v>
      </c>
      <c r="H165" s="78">
        <f>I166 + I167 + I168</f>
        <v>1269.8599999999999</v>
      </c>
      <c r="I165" s="78">
        <f t="shared" si="2"/>
        <v>1269.8599999999999</v>
      </c>
      <c r="J165" s="79">
        <f>I165 / J10</f>
        <v>6.7509208912442558E-4</v>
      </c>
    </row>
    <row r="166" spans="1:10" ht="26.1" customHeight="1" x14ac:dyDescent="0.2">
      <c r="A166" s="38" t="s">
        <v>397</v>
      </c>
      <c r="B166" s="21" t="s">
        <v>159</v>
      </c>
      <c r="C166" s="21" t="s">
        <v>18</v>
      </c>
      <c r="D166" s="21" t="s">
        <v>160</v>
      </c>
      <c r="E166" s="22" t="s">
        <v>36</v>
      </c>
      <c r="F166" s="80">
        <v>7.96</v>
      </c>
      <c r="G166" s="23">
        <v>80.459999999999994</v>
      </c>
      <c r="H166" s="23">
        <f>ROUND(ROUND(G166 * J11, 2) + G166, 2)</f>
        <v>101.98</v>
      </c>
      <c r="I166" s="23">
        <f t="shared" si="2"/>
        <v>811.76</v>
      </c>
      <c r="J166" s="39">
        <f>I166 / J10</f>
        <v>4.3155367856901054E-4</v>
      </c>
    </row>
    <row r="167" spans="1:10" ht="39" customHeight="1" x14ac:dyDescent="0.2">
      <c r="A167" s="38" t="s">
        <v>398</v>
      </c>
      <c r="B167" s="21" t="s">
        <v>399</v>
      </c>
      <c r="C167" s="21" t="s">
        <v>18</v>
      </c>
      <c r="D167" s="21" t="s">
        <v>400</v>
      </c>
      <c r="E167" s="22" t="s">
        <v>47</v>
      </c>
      <c r="F167" s="80">
        <v>61.1</v>
      </c>
      <c r="G167" s="23">
        <v>4.13</v>
      </c>
      <c r="H167" s="23">
        <f>ROUND(ROUND(G167 * J11, 2) + G167, 2)</f>
        <v>5.23</v>
      </c>
      <c r="I167" s="23">
        <f t="shared" si="2"/>
        <v>319.55</v>
      </c>
      <c r="J167" s="39">
        <f>I167 / J10</f>
        <v>1.6988146494866381E-4</v>
      </c>
    </row>
    <row r="168" spans="1:10" ht="39" customHeight="1" x14ac:dyDescent="0.2">
      <c r="A168" s="38" t="s">
        <v>401</v>
      </c>
      <c r="B168" s="21" t="s">
        <v>402</v>
      </c>
      <c r="C168" s="21" t="s">
        <v>18</v>
      </c>
      <c r="D168" s="21" t="s">
        <v>403</v>
      </c>
      <c r="E168" s="22" t="s">
        <v>47</v>
      </c>
      <c r="F168" s="80">
        <v>17</v>
      </c>
      <c r="G168" s="23">
        <v>6.43</v>
      </c>
      <c r="H168" s="23">
        <f>ROUND(ROUND(G168 * J11, 2) + G168, 2)</f>
        <v>8.15</v>
      </c>
      <c r="I168" s="23">
        <f t="shared" si="2"/>
        <v>138.55000000000001</v>
      </c>
      <c r="J168" s="39">
        <f>I168 / J10</f>
        <v>7.3656945606751282E-5</v>
      </c>
    </row>
    <row r="169" spans="1:10" ht="24" customHeight="1" x14ac:dyDescent="0.2">
      <c r="A169" s="74" t="s">
        <v>404</v>
      </c>
      <c r="B169" s="75" t="s">
        <v>13</v>
      </c>
      <c r="C169" s="75"/>
      <c r="D169" s="75" t="s">
        <v>405</v>
      </c>
      <c r="E169" s="76"/>
      <c r="F169" s="77">
        <v>1</v>
      </c>
      <c r="G169" s="77" t="s">
        <v>15</v>
      </c>
      <c r="H169" s="78">
        <f>I170 + I171 + I172 + I173 + I174 + I175 + I176 + I177 + I178 + I179 + I180 + I181 + I182 + I183 + I184 + I185 + I186 + I187 + I188 + I189</f>
        <v>18477.799999999996</v>
      </c>
      <c r="I169" s="78">
        <f t="shared" si="2"/>
        <v>18477.8</v>
      </c>
      <c r="J169" s="79">
        <f>I169 / J10</f>
        <v>9.8233006822982943E-3</v>
      </c>
    </row>
    <row r="170" spans="1:10" ht="39" customHeight="1" x14ac:dyDescent="0.2">
      <c r="A170" s="38" t="s">
        <v>406</v>
      </c>
      <c r="B170" s="21" t="s">
        <v>407</v>
      </c>
      <c r="C170" s="21" t="s">
        <v>18</v>
      </c>
      <c r="D170" s="21" t="s">
        <v>408</v>
      </c>
      <c r="E170" s="22" t="s">
        <v>47</v>
      </c>
      <c r="F170" s="80">
        <v>134.6</v>
      </c>
      <c r="G170" s="23">
        <v>23.43</v>
      </c>
      <c r="H170" s="23">
        <f>ROUND(ROUND(G170 * J11, 2) + G170, 2)</f>
        <v>29.7</v>
      </c>
      <c r="I170" s="23">
        <f t="shared" si="2"/>
        <v>3997.62</v>
      </c>
      <c r="J170" s="39">
        <f>I170 / J10</f>
        <v>2.1252434420531291E-3</v>
      </c>
    </row>
    <row r="171" spans="1:10" ht="39" customHeight="1" x14ac:dyDescent="0.2">
      <c r="A171" s="38" t="s">
        <v>409</v>
      </c>
      <c r="B171" s="21" t="s">
        <v>410</v>
      </c>
      <c r="C171" s="21" t="s">
        <v>18</v>
      </c>
      <c r="D171" s="21" t="s">
        <v>411</v>
      </c>
      <c r="E171" s="22" t="s">
        <v>47</v>
      </c>
      <c r="F171" s="80">
        <v>33</v>
      </c>
      <c r="G171" s="23">
        <v>25.83</v>
      </c>
      <c r="H171" s="23">
        <f>ROUND(ROUND(G171 * J11, 2) + G171, 2)</f>
        <v>32.74</v>
      </c>
      <c r="I171" s="23">
        <f t="shared" si="2"/>
        <v>1080.42</v>
      </c>
      <c r="J171" s="39">
        <f>I171 / J10</f>
        <v>5.7438063639441512E-4</v>
      </c>
    </row>
    <row r="172" spans="1:10" ht="39" customHeight="1" x14ac:dyDescent="0.2">
      <c r="A172" s="38" t="s">
        <v>412</v>
      </c>
      <c r="B172" s="21" t="s">
        <v>413</v>
      </c>
      <c r="C172" s="21" t="s">
        <v>18</v>
      </c>
      <c r="D172" s="21" t="s">
        <v>414</v>
      </c>
      <c r="E172" s="22" t="s">
        <v>47</v>
      </c>
      <c r="F172" s="80">
        <v>6</v>
      </c>
      <c r="G172" s="23">
        <v>32.950000000000003</v>
      </c>
      <c r="H172" s="23">
        <f>ROUND(ROUND(G172 * J11, 2) + G172, 2)</f>
        <v>41.76</v>
      </c>
      <c r="I172" s="23">
        <f t="shared" si="2"/>
        <v>250.56</v>
      </c>
      <c r="J172" s="39">
        <f>I172 / J10</f>
        <v>1.3320450589121327E-4</v>
      </c>
    </row>
    <row r="173" spans="1:10" ht="39" customHeight="1" x14ac:dyDescent="0.2">
      <c r="A173" s="38" t="s">
        <v>415</v>
      </c>
      <c r="B173" s="21" t="s">
        <v>416</v>
      </c>
      <c r="C173" s="21" t="s">
        <v>18</v>
      </c>
      <c r="D173" s="21" t="s">
        <v>417</v>
      </c>
      <c r="E173" s="22" t="s">
        <v>47</v>
      </c>
      <c r="F173" s="80">
        <v>22</v>
      </c>
      <c r="G173" s="23">
        <v>38.78</v>
      </c>
      <c r="H173" s="23">
        <f>ROUND(ROUND(G173 * J11, 2) + G173, 2)</f>
        <v>49.15</v>
      </c>
      <c r="I173" s="23">
        <f t="shared" si="2"/>
        <v>1081.3</v>
      </c>
      <c r="J173" s="39">
        <f>I173 / J10</f>
        <v>5.7484846831165756E-4</v>
      </c>
    </row>
    <row r="174" spans="1:10" ht="51.95" customHeight="1" x14ac:dyDescent="0.2">
      <c r="A174" s="38" t="s">
        <v>418</v>
      </c>
      <c r="B174" s="21" t="s">
        <v>419</v>
      </c>
      <c r="C174" s="21" t="s">
        <v>18</v>
      </c>
      <c r="D174" s="21" t="s">
        <v>420</v>
      </c>
      <c r="E174" s="22" t="s">
        <v>201</v>
      </c>
      <c r="F174" s="80">
        <v>5</v>
      </c>
      <c r="G174" s="23">
        <v>102.16</v>
      </c>
      <c r="H174" s="23">
        <f>ROUND(ROUND(G174 * J11, 2) + G174, 2)</f>
        <v>129.47999999999999</v>
      </c>
      <c r="I174" s="23">
        <f t="shared" si="2"/>
        <v>647.4</v>
      </c>
      <c r="J174" s="39">
        <f>I174 / J10</f>
        <v>3.4417543548040977E-4</v>
      </c>
    </row>
    <row r="175" spans="1:10" ht="39" customHeight="1" x14ac:dyDescent="0.2">
      <c r="A175" s="38" t="s">
        <v>421</v>
      </c>
      <c r="B175" s="21" t="s">
        <v>422</v>
      </c>
      <c r="C175" s="21" t="s">
        <v>27</v>
      </c>
      <c r="D175" s="21" t="s">
        <v>423</v>
      </c>
      <c r="E175" s="22" t="s">
        <v>240</v>
      </c>
      <c r="F175" s="80">
        <v>1</v>
      </c>
      <c r="G175" s="23">
        <v>189.79</v>
      </c>
      <c r="H175" s="23">
        <f>ROUND(ROUND(G175 * J11, 2) + G175, 2)</f>
        <v>240.54</v>
      </c>
      <c r="I175" s="23">
        <f t="shared" si="2"/>
        <v>240.54</v>
      </c>
      <c r="J175" s="39">
        <f>I175 / J10</f>
        <v>1.2787760156079359E-4</v>
      </c>
    </row>
    <row r="176" spans="1:10" ht="26.1" customHeight="1" x14ac:dyDescent="0.2">
      <c r="A176" s="38" t="s">
        <v>424</v>
      </c>
      <c r="B176" s="21" t="s">
        <v>425</v>
      </c>
      <c r="C176" s="21" t="s">
        <v>18</v>
      </c>
      <c r="D176" s="21" t="s">
        <v>426</v>
      </c>
      <c r="E176" s="22" t="s">
        <v>201</v>
      </c>
      <c r="F176" s="80">
        <v>7</v>
      </c>
      <c r="G176" s="23">
        <v>57.24</v>
      </c>
      <c r="H176" s="23">
        <f>ROUND(ROUND(G176 * J11, 2) + G176, 2)</f>
        <v>72.55</v>
      </c>
      <c r="I176" s="23">
        <f t="shared" si="2"/>
        <v>507.85</v>
      </c>
      <c r="J176" s="39">
        <f>I176 / J10</f>
        <v>2.6998686269497394E-4</v>
      </c>
    </row>
    <row r="177" spans="1:10" ht="51.95" customHeight="1" x14ac:dyDescent="0.2">
      <c r="A177" s="38" t="s">
        <v>427</v>
      </c>
      <c r="B177" s="21" t="s">
        <v>428</v>
      </c>
      <c r="C177" s="21" t="s">
        <v>18</v>
      </c>
      <c r="D177" s="21" t="s">
        <v>429</v>
      </c>
      <c r="E177" s="22" t="s">
        <v>201</v>
      </c>
      <c r="F177" s="80">
        <v>10</v>
      </c>
      <c r="G177" s="23">
        <v>97.32</v>
      </c>
      <c r="H177" s="23">
        <f>ROUND(ROUND(G177 * J11, 2) + G177, 2)</f>
        <v>123.34</v>
      </c>
      <c r="I177" s="23">
        <f t="shared" si="2"/>
        <v>1233.4000000000001</v>
      </c>
      <c r="J177" s="39">
        <f>I177 / J10</f>
        <v>6.5570896218958524E-4</v>
      </c>
    </row>
    <row r="178" spans="1:10" ht="51.95" customHeight="1" x14ac:dyDescent="0.2">
      <c r="A178" s="38" t="s">
        <v>430</v>
      </c>
      <c r="B178" s="21" t="s">
        <v>419</v>
      </c>
      <c r="C178" s="21" t="s">
        <v>18</v>
      </c>
      <c r="D178" s="21" t="s">
        <v>420</v>
      </c>
      <c r="E178" s="22" t="s">
        <v>201</v>
      </c>
      <c r="F178" s="80">
        <v>5</v>
      </c>
      <c r="G178" s="23">
        <v>102.16</v>
      </c>
      <c r="H178" s="23">
        <f>ROUND(ROUND(G178 * J11, 2) + G178, 2)</f>
        <v>129.47999999999999</v>
      </c>
      <c r="I178" s="23">
        <f t="shared" si="2"/>
        <v>647.4</v>
      </c>
      <c r="J178" s="39">
        <f>I178 / J10</f>
        <v>3.4417543548040977E-4</v>
      </c>
    </row>
    <row r="179" spans="1:10" ht="51.95" customHeight="1" x14ac:dyDescent="0.2">
      <c r="A179" s="38" t="s">
        <v>431</v>
      </c>
      <c r="B179" s="21" t="s">
        <v>432</v>
      </c>
      <c r="C179" s="21" t="s">
        <v>18</v>
      </c>
      <c r="D179" s="21" t="s">
        <v>433</v>
      </c>
      <c r="E179" s="22" t="s">
        <v>201</v>
      </c>
      <c r="F179" s="80">
        <v>3</v>
      </c>
      <c r="G179" s="23">
        <v>186.77</v>
      </c>
      <c r="H179" s="23">
        <f>ROUND(ROUND(G179 * J11, 2) + G179, 2)</f>
        <v>236.71</v>
      </c>
      <c r="I179" s="23">
        <f t="shared" si="2"/>
        <v>710.13</v>
      </c>
      <c r="J179" s="39">
        <f>I179 / J10</f>
        <v>3.775244083992947E-4</v>
      </c>
    </row>
    <row r="180" spans="1:10" ht="39" customHeight="1" x14ac:dyDescent="0.2">
      <c r="A180" s="38" t="s">
        <v>434</v>
      </c>
      <c r="B180" s="21" t="s">
        <v>435</v>
      </c>
      <c r="C180" s="21" t="s">
        <v>18</v>
      </c>
      <c r="D180" s="21" t="s">
        <v>436</v>
      </c>
      <c r="E180" s="22" t="s">
        <v>201</v>
      </c>
      <c r="F180" s="80">
        <v>7</v>
      </c>
      <c r="G180" s="23">
        <v>410.61</v>
      </c>
      <c r="H180" s="23">
        <f>ROUND(ROUND(G180 * J11, 2) + G180, 2)</f>
        <v>520.41</v>
      </c>
      <c r="I180" s="23">
        <f t="shared" si="2"/>
        <v>3642.87</v>
      </c>
      <c r="J180" s="39">
        <f>I180 / J10</f>
        <v>1.9366487004147672E-3</v>
      </c>
    </row>
    <row r="181" spans="1:10" ht="51.95" customHeight="1" x14ac:dyDescent="0.2">
      <c r="A181" s="38" t="s">
        <v>437</v>
      </c>
      <c r="B181" s="21" t="s">
        <v>438</v>
      </c>
      <c r="C181" s="21" t="s">
        <v>18</v>
      </c>
      <c r="D181" s="21" t="s">
        <v>439</v>
      </c>
      <c r="E181" s="22" t="s">
        <v>201</v>
      </c>
      <c r="F181" s="80">
        <v>1</v>
      </c>
      <c r="G181" s="23">
        <v>1010.96</v>
      </c>
      <c r="H181" s="23">
        <f>ROUND(ROUND(G181 * J11, 2) + G181, 2)</f>
        <v>1281.29</v>
      </c>
      <c r="I181" s="23">
        <f t="shared" si="2"/>
        <v>1281.29</v>
      </c>
      <c r="J181" s="39">
        <f>I181 / J10</f>
        <v>6.8116858777679057E-4</v>
      </c>
    </row>
    <row r="182" spans="1:10" ht="51.95" customHeight="1" x14ac:dyDescent="0.2">
      <c r="A182" s="38" t="s">
        <v>440</v>
      </c>
      <c r="B182" s="21" t="s">
        <v>441</v>
      </c>
      <c r="C182" s="21" t="s">
        <v>18</v>
      </c>
      <c r="D182" s="21" t="s">
        <v>442</v>
      </c>
      <c r="E182" s="22" t="s">
        <v>201</v>
      </c>
      <c r="F182" s="80">
        <v>1</v>
      </c>
      <c r="G182" s="23">
        <v>782.04</v>
      </c>
      <c r="H182" s="23">
        <f>ROUND(ROUND(G182 * J11, 2) + G182, 2)</f>
        <v>991.16</v>
      </c>
      <c r="I182" s="23">
        <f t="shared" si="2"/>
        <v>991.16</v>
      </c>
      <c r="J182" s="39">
        <f>I182 / J10</f>
        <v>5.2692759442502771E-4</v>
      </c>
    </row>
    <row r="183" spans="1:10" ht="26.1" customHeight="1" x14ac:dyDescent="0.2">
      <c r="A183" s="38" t="s">
        <v>443</v>
      </c>
      <c r="B183" s="21" t="s">
        <v>444</v>
      </c>
      <c r="C183" s="21" t="s">
        <v>18</v>
      </c>
      <c r="D183" s="21" t="s">
        <v>445</v>
      </c>
      <c r="E183" s="22" t="s">
        <v>36</v>
      </c>
      <c r="F183" s="80">
        <v>7.96</v>
      </c>
      <c r="G183" s="23">
        <v>80.459999999999994</v>
      </c>
      <c r="H183" s="23">
        <f>ROUND(ROUND(G183 * J11, 2) + G183, 2)</f>
        <v>101.98</v>
      </c>
      <c r="I183" s="23">
        <f t="shared" si="2"/>
        <v>811.76</v>
      </c>
      <c r="J183" s="39">
        <f>I183 / J10</f>
        <v>4.3155367856901054E-4</v>
      </c>
    </row>
    <row r="184" spans="1:10" ht="51.95" customHeight="1" x14ac:dyDescent="0.2">
      <c r="A184" s="38" t="s">
        <v>446</v>
      </c>
      <c r="B184" s="21" t="s">
        <v>447</v>
      </c>
      <c r="C184" s="21" t="s">
        <v>18</v>
      </c>
      <c r="D184" s="21" t="s">
        <v>448</v>
      </c>
      <c r="E184" s="22" t="s">
        <v>47</v>
      </c>
      <c r="F184" s="80">
        <v>61.1</v>
      </c>
      <c r="G184" s="23">
        <v>3.02</v>
      </c>
      <c r="H184" s="23">
        <f>ROUND(ROUND(G184 * J11, 2) + G184, 2)</f>
        <v>3.83</v>
      </c>
      <c r="I184" s="23">
        <f t="shared" si="2"/>
        <v>234.01</v>
      </c>
      <c r="J184" s="39">
        <f>I184 / J10</f>
        <v>1.2440607608398314E-4</v>
      </c>
    </row>
    <row r="185" spans="1:10" ht="51.95" customHeight="1" x14ac:dyDescent="0.2">
      <c r="A185" s="38" t="s">
        <v>449</v>
      </c>
      <c r="B185" s="21" t="s">
        <v>450</v>
      </c>
      <c r="C185" s="21" t="s">
        <v>18</v>
      </c>
      <c r="D185" s="21" t="s">
        <v>451</v>
      </c>
      <c r="E185" s="22" t="s">
        <v>47</v>
      </c>
      <c r="F185" s="80">
        <v>17</v>
      </c>
      <c r="G185" s="23">
        <v>3.91</v>
      </c>
      <c r="H185" s="23">
        <f>ROUND(ROUND(G185 * J11, 2) + G185, 2)</f>
        <v>4.96</v>
      </c>
      <c r="I185" s="23">
        <f t="shared" si="2"/>
        <v>84.32</v>
      </c>
      <c r="J185" s="39">
        <f>I185 / J10</f>
        <v>4.4826803706685433E-5</v>
      </c>
    </row>
    <row r="186" spans="1:10" ht="39" customHeight="1" x14ac:dyDescent="0.2">
      <c r="A186" s="38" t="s">
        <v>452</v>
      </c>
      <c r="B186" s="21" t="s">
        <v>453</v>
      </c>
      <c r="C186" s="21" t="s">
        <v>18</v>
      </c>
      <c r="D186" s="21" t="s">
        <v>454</v>
      </c>
      <c r="E186" s="22" t="s">
        <v>201</v>
      </c>
      <c r="F186" s="80">
        <v>4</v>
      </c>
      <c r="G186" s="23">
        <v>61.63</v>
      </c>
      <c r="H186" s="23">
        <f>ROUND(ROUND(G186 * J11, 2) + G186, 2)</f>
        <v>78.11</v>
      </c>
      <c r="I186" s="23">
        <f t="shared" si="2"/>
        <v>312.44</v>
      </c>
      <c r="J186" s="39">
        <f>I186 / J10</f>
        <v>1.661015957082163E-4</v>
      </c>
    </row>
    <row r="187" spans="1:10" ht="39" customHeight="1" x14ac:dyDescent="0.2">
      <c r="A187" s="38" t="s">
        <v>455</v>
      </c>
      <c r="B187" s="21" t="s">
        <v>456</v>
      </c>
      <c r="C187" s="21" t="s">
        <v>18</v>
      </c>
      <c r="D187" s="21" t="s">
        <v>457</v>
      </c>
      <c r="E187" s="22" t="s">
        <v>201</v>
      </c>
      <c r="F187" s="80">
        <v>1</v>
      </c>
      <c r="G187" s="23">
        <v>65.66</v>
      </c>
      <c r="H187" s="23">
        <f>ROUND(ROUND(G187 * J11, 2) + G187, 2)</f>
        <v>83.22</v>
      </c>
      <c r="I187" s="23">
        <f t="shared" si="2"/>
        <v>83.22</v>
      </c>
      <c r="J187" s="39">
        <f>I187 / J10</f>
        <v>4.424201381013238E-5</v>
      </c>
    </row>
    <row r="188" spans="1:10" ht="39" customHeight="1" x14ac:dyDescent="0.2">
      <c r="A188" s="38" t="s">
        <v>458</v>
      </c>
      <c r="B188" s="21" t="s">
        <v>459</v>
      </c>
      <c r="C188" s="21" t="s">
        <v>18</v>
      </c>
      <c r="D188" s="21" t="s">
        <v>460</v>
      </c>
      <c r="E188" s="22" t="s">
        <v>201</v>
      </c>
      <c r="F188" s="80">
        <v>1</v>
      </c>
      <c r="G188" s="23">
        <v>96.1</v>
      </c>
      <c r="H188" s="23">
        <f>ROUND(ROUND(G188 * J11, 2) + G188, 2)</f>
        <v>121.8</v>
      </c>
      <c r="I188" s="23">
        <f t="shared" si="2"/>
        <v>121.8</v>
      </c>
      <c r="J188" s="39">
        <f>I188 / J10</f>
        <v>6.4752190363784231E-5</v>
      </c>
    </row>
    <row r="189" spans="1:10" ht="39" customHeight="1" x14ac:dyDescent="0.2">
      <c r="A189" s="38" t="s">
        <v>461</v>
      </c>
      <c r="B189" s="21" t="s">
        <v>462</v>
      </c>
      <c r="C189" s="21" t="s">
        <v>18</v>
      </c>
      <c r="D189" s="21" t="s">
        <v>463</v>
      </c>
      <c r="E189" s="22" t="s">
        <v>201</v>
      </c>
      <c r="F189" s="80">
        <v>3</v>
      </c>
      <c r="G189" s="23">
        <v>136.32</v>
      </c>
      <c r="H189" s="23">
        <f>ROUND(ROUND(G189 * J11, 2) + G189, 2)</f>
        <v>172.77</v>
      </c>
      <c r="I189" s="23">
        <f t="shared" si="2"/>
        <v>518.30999999999995</v>
      </c>
      <c r="J189" s="39">
        <f>I189 / J10</f>
        <v>2.7554768298401479E-4</v>
      </c>
    </row>
    <row r="190" spans="1:10" ht="24" customHeight="1" x14ac:dyDescent="0.2">
      <c r="A190" s="74" t="s">
        <v>464</v>
      </c>
      <c r="B190" s="75" t="s">
        <v>13</v>
      </c>
      <c r="C190" s="75"/>
      <c r="D190" s="75" t="s">
        <v>465</v>
      </c>
      <c r="E190" s="76"/>
      <c r="F190" s="77">
        <v>1</v>
      </c>
      <c r="G190" s="77" t="s">
        <v>15</v>
      </c>
      <c r="H190" s="78">
        <f>I191 + I194</f>
        <v>18976.829999999998</v>
      </c>
      <c r="I190" s="78">
        <f t="shared" si="2"/>
        <v>18976.830000000002</v>
      </c>
      <c r="J190" s="79">
        <f>I190 / J10</f>
        <v>1.0088598593277272E-2</v>
      </c>
    </row>
    <row r="191" spans="1:10" ht="24" customHeight="1" x14ac:dyDescent="0.2">
      <c r="A191" s="74" t="s">
        <v>466</v>
      </c>
      <c r="B191" s="75" t="s">
        <v>13</v>
      </c>
      <c r="C191" s="75"/>
      <c r="D191" s="75" t="s">
        <v>14</v>
      </c>
      <c r="E191" s="76"/>
      <c r="F191" s="77">
        <v>1</v>
      </c>
      <c r="G191" s="77" t="s">
        <v>15</v>
      </c>
      <c r="H191" s="78">
        <f>I192 + I193</f>
        <v>1656.5500000000002</v>
      </c>
      <c r="I191" s="78">
        <f t="shared" si="2"/>
        <v>1656.55</v>
      </c>
      <c r="J191" s="79">
        <f>I191 / J10</f>
        <v>8.8066700284997342E-4</v>
      </c>
    </row>
    <row r="192" spans="1:10" ht="39" customHeight="1" x14ac:dyDescent="0.2">
      <c r="A192" s="38" t="s">
        <v>467</v>
      </c>
      <c r="B192" s="21" t="s">
        <v>402</v>
      </c>
      <c r="C192" s="21" t="s">
        <v>18</v>
      </c>
      <c r="D192" s="21" t="s">
        <v>403</v>
      </c>
      <c r="E192" s="22" t="s">
        <v>47</v>
      </c>
      <c r="F192" s="80">
        <v>26.7</v>
      </c>
      <c r="G192" s="23">
        <v>6.43</v>
      </c>
      <c r="H192" s="23">
        <f>ROUND(ROUND(G192 * J11, 2) + G192, 2)</f>
        <v>8.15</v>
      </c>
      <c r="I192" s="23">
        <f t="shared" si="2"/>
        <v>217.61</v>
      </c>
      <c r="J192" s="39">
        <f>I192 / J10</f>
        <v>1.1568739035355573E-4</v>
      </c>
    </row>
    <row r="193" spans="1:10" ht="26.1" customHeight="1" x14ac:dyDescent="0.2">
      <c r="A193" s="38" t="s">
        <v>468</v>
      </c>
      <c r="B193" s="21" t="s">
        <v>159</v>
      </c>
      <c r="C193" s="21" t="s">
        <v>18</v>
      </c>
      <c r="D193" s="21" t="s">
        <v>160</v>
      </c>
      <c r="E193" s="22" t="s">
        <v>36</v>
      </c>
      <c r="F193" s="80">
        <v>14.11</v>
      </c>
      <c r="G193" s="23">
        <v>80.459999999999994</v>
      </c>
      <c r="H193" s="23">
        <f>ROUND(ROUND(G193 * J11, 2) + G193, 2)</f>
        <v>101.98</v>
      </c>
      <c r="I193" s="23">
        <f t="shared" si="2"/>
        <v>1438.94</v>
      </c>
      <c r="J193" s="39">
        <f>I193 / J10</f>
        <v>7.6497961249641778E-4</v>
      </c>
    </row>
    <row r="194" spans="1:10" ht="24" customHeight="1" x14ac:dyDescent="0.2">
      <c r="A194" s="74" t="s">
        <v>469</v>
      </c>
      <c r="B194" s="75" t="s">
        <v>13</v>
      </c>
      <c r="C194" s="75"/>
      <c r="D194" s="75" t="s">
        <v>470</v>
      </c>
      <c r="E194" s="76"/>
      <c r="F194" s="77">
        <v>1</v>
      </c>
      <c r="G194" s="77" t="s">
        <v>15</v>
      </c>
      <c r="H194" s="78">
        <f>I195 + I196 + I197 + I198 + I199 + I200 + I201 + I202 + I203 + I204 + I205 + I206</f>
        <v>17320.28</v>
      </c>
      <c r="I194" s="78">
        <f t="shared" si="2"/>
        <v>17320.28</v>
      </c>
      <c r="J194" s="79">
        <f>I194 / J10</f>
        <v>9.2079315904272964E-3</v>
      </c>
    </row>
    <row r="195" spans="1:10" ht="39" customHeight="1" x14ac:dyDescent="0.2">
      <c r="A195" s="38" t="s">
        <v>471</v>
      </c>
      <c r="B195" s="21" t="s">
        <v>472</v>
      </c>
      <c r="C195" s="21" t="s">
        <v>18</v>
      </c>
      <c r="D195" s="21" t="s">
        <v>473</v>
      </c>
      <c r="E195" s="22" t="s">
        <v>47</v>
      </c>
      <c r="F195" s="80">
        <v>34.5</v>
      </c>
      <c r="G195" s="23">
        <v>26.66</v>
      </c>
      <c r="H195" s="23">
        <f>ROUND(ROUND(G195 * J11, 2) + G195, 2)</f>
        <v>33.79</v>
      </c>
      <c r="I195" s="23">
        <f t="shared" si="2"/>
        <v>1165.76</v>
      </c>
      <c r="J195" s="39">
        <f>I195 / J10</f>
        <v>6.1974969982335883E-4</v>
      </c>
    </row>
    <row r="196" spans="1:10" ht="39" customHeight="1" x14ac:dyDescent="0.2">
      <c r="A196" s="38" t="s">
        <v>474</v>
      </c>
      <c r="B196" s="21" t="s">
        <v>475</v>
      </c>
      <c r="C196" s="21" t="s">
        <v>18</v>
      </c>
      <c r="D196" s="21" t="s">
        <v>476</v>
      </c>
      <c r="E196" s="22" t="s">
        <v>47</v>
      </c>
      <c r="F196" s="80">
        <v>37.5</v>
      </c>
      <c r="G196" s="23">
        <v>33.71</v>
      </c>
      <c r="H196" s="23">
        <f>ROUND(ROUND(G196 * J11, 2) + G196, 2)</f>
        <v>42.72</v>
      </c>
      <c r="I196" s="23">
        <f t="shared" si="2"/>
        <v>1602</v>
      </c>
      <c r="J196" s="39">
        <f>I196 / J10</f>
        <v>8.5166674025272853E-4</v>
      </c>
    </row>
    <row r="197" spans="1:10" ht="39" customHeight="1" x14ac:dyDescent="0.2">
      <c r="A197" s="38" t="s">
        <v>477</v>
      </c>
      <c r="B197" s="21" t="s">
        <v>478</v>
      </c>
      <c r="C197" s="21" t="s">
        <v>18</v>
      </c>
      <c r="D197" s="21" t="s">
        <v>479</v>
      </c>
      <c r="E197" s="22" t="s">
        <v>47</v>
      </c>
      <c r="F197" s="80">
        <v>75.099999999999994</v>
      </c>
      <c r="G197" s="23">
        <v>47.38</v>
      </c>
      <c r="H197" s="23">
        <f>ROUND(ROUND(G197 * J11, 2) + G197, 2)</f>
        <v>60.05</v>
      </c>
      <c r="I197" s="23">
        <f t="shared" si="2"/>
        <v>4509.76</v>
      </c>
      <c r="J197" s="39">
        <f>I197 / J10</f>
        <v>2.3975109853446599E-3</v>
      </c>
    </row>
    <row r="198" spans="1:10" ht="26.1" customHeight="1" x14ac:dyDescent="0.2">
      <c r="A198" s="38" t="s">
        <v>480</v>
      </c>
      <c r="B198" s="21" t="s">
        <v>481</v>
      </c>
      <c r="C198" s="21" t="s">
        <v>27</v>
      </c>
      <c r="D198" s="21" t="s">
        <v>482</v>
      </c>
      <c r="E198" s="22" t="s">
        <v>240</v>
      </c>
      <c r="F198" s="80">
        <v>1</v>
      </c>
      <c r="G198" s="23">
        <v>422.45</v>
      </c>
      <c r="H198" s="23">
        <f>ROUND(ROUND(G198 * J11, 2) + G198, 2)</f>
        <v>535.41</v>
      </c>
      <c r="I198" s="23">
        <f t="shared" si="2"/>
        <v>535.41</v>
      </c>
      <c r="J198" s="39">
        <f>I198 / J10</f>
        <v>2.8463850773952147E-4</v>
      </c>
    </row>
    <row r="199" spans="1:10" ht="26.1" customHeight="1" x14ac:dyDescent="0.2">
      <c r="A199" s="38" t="s">
        <v>483</v>
      </c>
      <c r="B199" s="21" t="s">
        <v>484</v>
      </c>
      <c r="C199" s="21" t="s">
        <v>18</v>
      </c>
      <c r="D199" s="21" t="s">
        <v>485</v>
      </c>
      <c r="E199" s="22" t="s">
        <v>201</v>
      </c>
      <c r="F199" s="80">
        <v>13</v>
      </c>
      <c r="G199" s="23">
        <v>95.57</v>
      </c>
      <c r="H199" s="23">
        <f>ROUND(ROUND(G199 * J11, 2) + G199, 2)</f>
        <v>121.13</v>
      </c>
      <c r="I199" s="23">
        <f t="shared" si="2"/>
        <v>1574.69</v>
      </c>
      <c r="J199" s="39">
        <f>I199 / J10</f>
        <v>8.3714800200285222E-4</v>
      </c>
    </row>
    <row r="200" spans="1:10" ht="26.1" customHeight="1" x14ac:dyDescent="0.2">
      <c r="A200" s="38" t="s">
        <v>486</v>
      </c>
      <c r="B200" s="21" t="s">
        <v>487</v>
      </c>
      <c r="C200" s="21" t="s">
        <v>154</v>
      </c>
      <c r="D200" s="21" t="s">
        <v>488</v>
      </c>
      <c r="E200" s="22" t="s">
        <v>201</v>
      </c>
      <c r="F200" s="80">
        <v>2</v>
      </c>
      <c r="G200" s="23">
        <v>100.28</v>
      </c>
      <c r="H200" s="23">
        <f>ROUND(ROUND(G200 * J11, 2) + G200, 2)</f>
        <v>127.09</v>
      </c>
      <c r="I200" s="23">
        <f t="shared" si="2"/>
        <v>254.18</v>
      </c>
      <c r="J200" s="39">
        <f>I200 / J10</f>
        <v>1.3512899627805152E-4</v>
      </c>
    </row>
    <row r="201" spans="1:10" ht="65.099999999999994" customHeight="1" x14ac:dyDescent="0.2">
      <c r="A201" s="38" t="s">
        <v>489</v>
      </c>
      <c r="B201" s="21" t="s">
        <v>490</v>
      </c>
      <c r="C201" s="21" t="s">
        <v>18</v>
      </c>
      <c r="D201" s="21" t="s">
        <v>491</v>
      </c>
      <c r="E201" s="22" t="s">
        <v>201</v>
      </c>
      <c r="F201" s="80">
        <v>5</v>
      </c>
      <c r="G201" s="23">
        <v>880.97</v>
      </c>
      <c r="H201" s="23">
        <f>ROUND(ROUND(G201 * J11, 2) + G201, 2)</f>
        <v>1116.54</v>
      </c>
      <c r="I201" s="23">
        <f t="shared" si="2"/>
        <v>5582.7</v>
      </c>
      <c r="J201" s="39">
        <f>I201 / J10</f>
        <v>2.9679150504425141E-3</v>
      </c>
    </row>
    <row r="202" spans="1:10" ht="26.1" customHeight="1" x14ac:dyDescent="0.2">
      <c r="A202" s="38" t="s">
        <v>492</v>
      </c>
      <c r="B202" s="21" t="s">
        <v>493</v>
      </c>
      <c r="C202" s="21" t="s">
        <v>333</v>
      </c>
      <c r="D202" s="21" t="s">
        <v>494</v>
      </c>
      <c r="E202" s="22" t="s">
        <v>240</v>
      </c>
      <c r="F202" s="80">
        <v>13</v>
      </c>
      <c r="G202" s="23">
        <v>26.13</v>
      </c>
      <c r="H202" s="23">
        <f>ROUND(ROUND(G202 * J11, 2) + G202, 2)</f>
        <v>33.119999999999997</v>
      </c>
      <c r="I202" s="23">
        <f t="shared" si="2"/>
        <v>430.56</v>
      </c>
      <c r="J202" s="39">
        <f>I202 / J10</f>
        <v>2.288973980544412E-4</v>
      </c>
    </row>
    <row r="203" spans="1:10" ht="26.1" customHeight="1" x14ac:dyDescent="0.2">
      <c r="A203" s="38" t="s">
        <v>495</v>
      </c>
      <c r="B203" s="21" t="s">
        <v>444</v>
      </c>
      <c r="C203" s="21" t="s">
        <v>18</v>
      </c>
      <c r="D203" s="21" t="s">
        <v>445</v>
      </c>
      <c r="E203" s="22" t="s">
        <v>36</v>
      </c>
      <c r="F203" s="80">
        <v>14.07</v>
      </c>
      <c r="G203" s="23">
        <v>80.459999999999994</v>
      </c>
      <c r="H203" s="23">
        <f>ROUND(ROUND(G203 * J11, 2) + G203, 2)</f>
        <v>101.98</v>
      </c>
      <c r="I203" s="23">
        <f t="shared" si="2"/>
        <v>1434.86</v>
      </c>
      <c r="J203" s="39">
        <f>I203 / J10</f>
        <v>7.6281057360738451E-4</v>
      </c>
    </row>
    <row r="204" spans="1:10" ht="51.95" customHeight="1" x14ac:dyDescent="0.2">
      <c r="A204" s="38" t="s">
        <v>496</v>
      </c>
      <c r="B204" s="21" t="s">
        <v>450</v>
      </c>
      <c r="C204" s="21" t="s">
        <v>18</v>
      </c>
      <c r="D204" s="21" t="s">
        <v>451</v>
      </c>
      <c r="E204" s="22" t="s">
        <v>47</v>
      </c>
      <c r="F204" s="80">
        <v>26.7</v>
      </c>
      <c r="G204" s="23">
        <v>3.91</v>
      </c>
      <c r="H204" s="23">
        <f>ROUND(ROUND(G204 * J11, 2) + G204, 2)</f>
        <v>4.96</v>
      </c>
      <c r="I204" s="23">
        <f t="shared" si="2"/>
        <v>132.43</v>
      </c>
      <c r="J204" s="39">
        <f>I204 / J10</f>
        <v>7.0403387273201528E-5</v>
      </c>
    </row>
    <row r="205" spans="1:10" ht="51.95" customHeight="1" x14ac:dyDescent="0.2">
      <c r="A205" s="38" t="s">
        <v>497</v>
      </c>
      <c r="B205" s="21" t="s">
        <v>498</v>
      </c>
      <c r="C205" s="21" t="s">
        <v>18</v>
      </c>
      <c r="D205" s="21" t="s">
        <v>499</v>
      </c>
      <c r="E205" s="22" t="s">
        <v>36</v>
      </c>
      <c r="F205" s="80">
        <v>0.03</v>
      </c>
      <c r="G205" s="23">
        <v>636.74</v>
      </c>
      <c r="H205" s="23">
        <f>ROUND(ROUND(G205 * J11, 2) + G205, 2)</f>
        <v>807</v>
      </c>
      <c r="I205" s="23">
        <f t="shared" ref="I205:I268" si="3">ROUND(F205 * H205,2)</f>
        <v>24.21</v>
      </c>
      <c r="J205" s="39">
        <f>I205 / J10</f>
        <v>1.2870693995954156E-5</v>
      </c>
    </row>
    <row r="206" spans="1:10" ht="26.1" customHeight="1" x14ac:dyDescent="0.2">
      <c r="A206" s="38" t="s">
        <v>500</v>
      </c>
      <c r="B206" s="21" t="s">
        <v>501</v>
      </c>
      <c r="C206" s="21" t="s">
        <v>18</v>
      </c>
      <c r="D206" s="21" t="s">
        <v>502</v>
      </c>
      <c r="E206" s="22" t="s">
        <v>20</v>
      </c>
      <c r="F206" s="80">
        <v>0.73</v>
      </c>
      <c r="G206" s="23">
        <v>79.680000000000007</v>
      </c>
      <c r="H206" s="23">
        <f>ROUND(ROUND(G206 * J11, 2) + G206, 2)</f>
        <v>100.99</v>
      </c>
      <c r="I206" s="23">
        <f t="shared" si="3"/>
        <v>73.72</v>
      </c>
      <c r="J206" s="39">
        <f>I206 / J10</f>
        <v>3.9191555612628684E-5</v>
      </c>
    </row>
    <row r="207" spans="1:10" ht="24" customHeight="1" x14ac:dyDescent="0.2">
      <c r="A207" s="74" t="s">
        <v>503</v>
      </c>
      <c r="B207" s="75" t="s">
        <v>13</v>
      </c>
      <c r="C207" s="75"/>
      <c r="D207" s="75" t="s">
        <v>504</v>
      </c>
      <c r="E207" s="76"/>
      <c r="F207" s="77">
        <v>1</v>
      </c>
      <c r="G207" s="77" t="s">
        <v>15</v>
      </c>
      <c r="H207" s="78">
        <f>I208 + I211</f>
        <v>45595.13</v>
      </c>
      <c r="I207" s="78">
        <f t="shared" si="3"/>
        <v>45595.13</v>
      </c>
      <c r="J207" s="79">
        <f>I207 / J10</f>
        <v>2.4239610323657547E-2</v>
      </c>
    </row>
    <row r="208" spans="1:10" ht="24" customHeight="1" x14ac:dyDescent="0.2">
      <c r="A208" s="74" t="s">
        <v>505</v>
      </c>
      <c r="B208" s="75" t="s">
        <v>13</v>
      </c>
      <c r="C208" s="75"/>
      <c r="D208" s="75" t="s">
        <v>506</v>
      </c>
      <c r="E208" s="76"/>
      <c r="F208" s="77">
        <v>1</v>
      </c>
      <c r="G208" s="77" t="s">
        <v>15</v>
      </c>
      <c r="H208" s="78">
        <f>I209 + I210</f>
        <v>2680.25</v>
      </c>
      <c r="I208" s="78">
        <f t="shared" si="3"/>
        <v>2680.25</v>
      </c>
      <c r="J208" s="79">
        <f>I208 / J10</f>
        <v>1.4248937456693982E-3</v>
      </c>
    </row>
    <row r="209" spans="1:10" ht="26.1" customHeight="1" x14ac:dyDescent="0.2">
      <c r="A209" s="38" t="s">
        <v>507</v>
      </c>
      <c r="B209" s="21" t="s">
        <v>159</v>
      </c>
      <c r="C209" s="21" t="s">
        <v>18</v>
      </c>
      <c r="D209" s="21" t="s">
        <v>160</v>
      </c>
      <c r="E209" s="22" t="s">
        <v>36</v>
      </c>
      <c r="F209" s="80">
        <v>25.18</v>
      </c>
      <c r="G209" s="23">
        <v>80.459999999999994</v>
      </c>
      <c r="H209" s="23">
        <f>ROUND(ROUND(G209 * J11, 2) + G209, 2)</f>
        <v>101.98</v>
      </c>
      <c r="I209" s="23">
        <f t="shared" si="3"/>
        <v>2567.86</v>
      </c>
      <c r="J209" s="39">
        <f>I209 / J10</f>
        <v>1.3651441670570359E-3</v>
      </c>
    </row>
    <row r="210" spans="1:10" ht="51.95" customHeight="1" x14ac:dyDescent="0.2">
      <c r="A210" s="38" t="s">
        <v>508</v>
      </c>
      <c r="B210" s="21" t="s">
        <v>509</v>
      </c>
      <c r="C210" s="21" t="s">
        <v>18</v>
      </c>
      <c r="D210" s="21" t="s">
        <v>510</v>
      </c>
      <c r="E210" s="22" t="s">
        <v>36</v>
      </c>
      <c r="F210" s="80">
        <v>0.5</v>
      </c>
      <c r="G210" s="23">
        <v>177.35</v>
      </c>
      <c r="H210" s="23">
        <f>ROUND(ROUND(G210 * J11, 2) + G210, 2)</f>
        <v>224.77</v>
      </c>
      <c r="I210" s="23">
        <f t="shared" si="3"/>
        <v>112.39</v>
      </c>
      <c r="J210" s="39">
        <f>I210 / J10</f>
        <v>5.9749578612362152E-5</v>
      </c>
    </row>
    <row r="211" spans="1:10" ht="24" customHeight="1" x14ac:dyDescent="0.2">
      <c r="A211" s="74" t="s">
        <v>511</v>
      </c>
      <c r="B211" s="75" t="s">
        <v>13</v>
      </c>
      <c r="C211" s="75"/>
      <c r="D211" s="75" t="s">
        <v>512</v>
      </c>
      <c r="E211" s="76"/>
      <c r="F211" s="77">
        <v>1</v>
      </c>
      <c r="G211" s="77" t="s">
        <v>15</v>
      </c>
      <c r="H211" s="78">
        <f>I212 + I213 + I214 + I215 + I216 + I217 + I218 + I219 + I220 + I221 + I222 + I223 + I224 + I225 + I226</f>
        <v>42914.880000000005</v>
      </c>
      <c r="I211" s="78">
        <f t="shared" si="3"/>
        <v>42914.879999999997</v>
      </c>
      <c r="J211" s="79">
        <f>I211 / J10</f>
        <v>2.2814716577988149E-2</v>
      </c>
    </row>
    <row r="212" spans="1:10" ht="26.1" customHeight="1" x14ac:dyDescent="0.2">
      <c r="A212" s="38" t="s">
        <v>513</v>
      </c>
      <c r="B212" s="21" t="s">
        <v>444</v>
      </c>
      <c r="C212" s="21" t="s">
        <v>18</v>
      </c>
      <c r="D212" s="21" t="s">
        <v>445</v>
      </c>
      <c r="E212" s="22" t="s">
        <v>36</v>
      </c>
      <c r="F212" s="80">
        <v>6.41</v>
      </c>
      <c r="G212" s="23">
        <v>80.459999999999994</v>
      </c>
      <c r="H212" s="23">
        <f>ROUND(ROUND(G212 * J11, 2) + G212, 2)</f>
        <v>101.98</v>
      </c>
      <c r="I212" s="23">
        <f t="shared" si="3"/>
        <v>653.69000000000005</v>
      </c>
      <c r="J212" s="39">
        <f>I212 / J10</f>
        <v>3.4751937043433595E-4</v>
      </c>
    </row>
    <row r="213" spans="1:10" ht="51.95" customHeight="1" x14ac:dyDescent="0.2">
      <c r="A213" s="38" t="s">
        <v>514</v>
      </c>
      <c r="B213" s="21" t="s">
        <v>515</v>
      </c>
      <c r="C213" s="21" t="s">
        <v>18</v>
      </c>
      <c r="D213" s="21" t="s">
        <v>516</v>
      </c>
      <c r="E213" s="22" t="s">
        <v>36</v>
      </c>
      <c r="F213" s="80">
        <v>1.25</v>
      </c>
      <c r="G213" s="23">
        <v>407.7</v>
      </c>
      <c r="H213" s="23">
        <f>ROUND(ROUND(G213 * J11, 2) + G213, 2)</f>
        <v>516.72</v>
      </c>
      <c r="I213" s="23">
        <f t="shared" si="3"/>
        <v>645.9</v>
      </c>
      <c r="J213" s="39">
        <f>I213 / J10</f>
        <v>3.4337799471238285E-4</v>
      </c>
    </row>
    <row r="214" spans="1:10" ht="39" customHeight="1" x14ac:dyDescent="0.2">
      <c r="A214" s="38" t="s">
        <v>517</v>
      </c>
      <c r="B214" s="21" t="s">
        <v>99</v>
      </c>
      <c r="C214" s="21" t="s">
        <v>18</v>
      </c>
      <c r="D214" s="21" t="s">
        <v>100</v>
      </c>
      <c r="E214" s="22" t="s">
        <v>20</v>
      </c>
      <c r="F214" s="80">
        <v>16.489999999999998</v>
      </c>
      <c r="G214" s="23">
        <v>58.06</v>
      </c>
      <c r="H214" s="23">
        <f>ROUND(ROUND(G214 * J11, 2) + G214, 2)</f>
        <v>73.59</v>
      </c>
      <c r="I214" s="23">
        <f t="shared" si="3"/>
        <v>1213.5</v>
      </c>
      <c r="J214" s="39">
        <f>I214 / J10</f>
        <v>6.4512958133376166E-4</v>
      </c>
    </row>
    <row r="215" spans="1:10" ht="65.099999999999994" customHeight="1" x14ac:dyDescent="0.2">
      <c r="A215" s="38" t="s">
        <v>518</v>
      </c>
      <c r="B215" s="21" t="s">
        <v>519</v>
      </c>
      <c r="C215" s="21" t="s">
        <v>18</v>
      </c>
      <c r="D215" s="21" t="s">
        <v>520</v>
      </c>
      <c r="E215" s="22" t="s">
        <v>47</v>
      </c>
      <c r="F215" s="80">
        <v>15.7</v>
      </c>
      <c r="G215" s="23">
        <v>153.74</v>
      </c>
      <c r="H215" s="23">
        <f>ROUND(ROUND(G215 * J11, 2) + G215, 2)</f>
        <v>194.85</v>
      </c>
      <c r="I215" s="23">
        <f t="shared" si="3"/>
        <v>3059.15</v>
      </c>
      <c r="J215" s="39">
        <f>I215 / J10</f>
        <v>1.626327283672993E-3</v>
      </c>
    </row>
    <row r="216" spans="1:10" ht="39" customHeight="1" x14ac:dyDescent="0.2">
      <c r="A216" s="38" t="s">
        <v>521</v>
      </c>
      <c r="B216" s="21" t="s">
        <v>522</v>
      </c>
      <c r="C216" s="21" t="s">
        <v>18</v>
      </c>
      <c r="D216" s="21" t="s">
        <v>523</v>
      </c>
      <c r="E216" s="22" t="s">
        <v>47</v>
      </c>
      <c r="F216" s="80">
        <v>114.5</v>
      </c>
      <c r="G216" s="23">
        <v>39.86</v>
      </c>
      <c r="H216" s="23">
        <f>ROUND(ROUND(G216 * J11, 2) + G216, 2)</f>
        <v>50.52</v>
      </c>
      <c r="I216" s="23">
        <f t="shared" si="3"/>
        <v>5784.54</v>
      </c>
      <c r="J216" s="39">
        <f>I216 / J10</f>
        <v>3.0752186801882137E-3</v>
      </c>
    </row>
    <row r="217" spans="1:10" ht="39" customHeight="1" x14ac:dyDescent="0.2">
      <c r="A217" s="38" t="s">
        <v>524</v>
      </c>
      <c r="B217" s="21" t="s">
        <v>525</v>
      </c>
      <c r="C217" s="21" t="s">
        <v>18</v>
      </c>
      <c r="D217" s="21" t="s">
        <v>526</v>
      </c>
      <c r="E217" s="22" t="s">
        <v>47</v>
      </c>
      <c r="F217" s="80">
        <v>11</v>
      </c>
      <c r="G217" s="23">
        <v>75.260000000000005</v>
      </c>
      <c r="H217" s="23">
        <f>ROUND(ROUND(G217 * J11, 2) + G217, 2)</f>
        <v>95.38</v>
      </c>
      <c r="I217" s="23">
        <f t="shared" si="3"/>
        <v>1049.18</v>
      </c>
      <c r="J217" s="39">
        <f>I217 / J10</f>
        <v>5.5777260333230827E-4</v>
      </c>
    </row>
    <row r="218" spans="1:10" ht="39" customHeight="1" x14ac:dyDescent="0.2">
      <c r="A218" s="38" t="s">
        <v>527</v>
      </c>
      <c r="B218" s="21" t="s">
        <v>528</v>
      </c>
      <c r="C218" s="21" t="s">
        <v>18</v>
      </c>
      <c r="D218" s="21" t="s">
        <v>529</v>
      </c>
      <c r="E218" s="22" t="s">
        <v>47</v>
      </c>
      <c r="F218" s="80">
        <v>42.5</v>
      </c>
      <c r="G218" s="23">
        <v>159.19999999999999</v>
      </c>
      <c r="H218" s="23">
        <f>ROUND(ROUND(G218 * J11, 2) + G218, 2)</f>
        <v>201.77</v>
      </c>
      <c r="I218" s="23">
        <f t="shared" si="3"/>
        <v>8575.23</v>
      </c>
      <c r="J218" s="39">
        <f>I218 / J10</f>
        <v>4.5588253314715384E-3</v>
      </c>
    </row>
    <row r="219" spans="1:10" ht="39" customHeight="1" x14ac:dyDescent="0.2">
      <c r="A219" s="38" t="s">
        <v>530</v>
      </c>
      <c r="B219" s="21" t="s">
        <v>531</v>
      </c>
      <c r="C219" s="21" t="s">
        <v>27</v>
      </c>
      <c r="D219" s="21" t="s">
        <v>532</v>
      </c>
      <c r="E219" s="22" t="s">
        <v>240</v>
      </c>
      <c r="F219" s="80">
        <v>8</v>
      </c>
      <c r="G219" s="23">
        <v>708.48</v>
      </c>
      <c r="H219" s="23">
        <f>ROUND(ROUND(G219 * J11, 2) + G219, 2)</f>
        <v>897.93</v>
      </c>
      <c r="I219" s="23">
        <f t="shared" si="3"/>
        <v>7183.44</v>
      </c>
      <c r="J219" s="39">
        <f>I219 / J10</f>
        <v>3.8189119404501001E-3</v>
      </c>
    </row>
    <row r="220" spans="1:10" ht="39" customHeight="1" x14ac:dyDescent="0.2">
      <c r="A220" s="38" t="s">
        <v>533</v>
      </c>
      <c r="B220" s="21" t="s">
        <v>534</v>
      </c>
      <c r="C220" s="21" t="s">
        <v>27</v>
      </c>
      <c r="D220" s="21" t="s">
        <v>535</v>
      </c>
      <c r="E220" s="22" t="s">
        <v>240</v>
      </c>
      <c r="F220" s="80">
        <v>3</v>
      </c>
      <c r="G220" s="23">
        <v>498.23</v>
      </c>
      <c r="H220" s="23">
        <f>ROUND(ROUND(G220 * J11, 2) + G220, 2)</f>
        <v>631.46</v>
      </c>
      <c r="I220" s="23">
        <f t="shared" si="3"/>
        <v>1894.38</v>
      </c>
      <c r="J220" s="39">
        <f>I220 / J10</f>
        <v>1.0071038947565317E-3</v>
      </c>
    </row>
    <row r="221" spans="1:10" ht="39" customHeight="1" x14ac:dyDescent="0.2">
      <c r="A221" s="38" t="s">
        <v>536</v>
      </c>
      <c r="B221" s="21" t="s">
        <v>537</v>
      </c>
      <c r="C221" s="21" t="s">
        <v>27</v>
      </c>
      <c r="D221" s="21" t="s">
        <v>538</v>
      </c>
      <c r="E221" s="22" t="s">
        <v>68</v>
      </c>
      <c r="F221" s="80">
        <v>55</v>
      </c>
      <c r="G221" s="23">
        <v>34.119999999999997</v>
      </c>
      <c r="H221" s="23">
        <f>ROUND(ROUND(G221 * J11, 2) + G221, 2)</f>
        <v>43.24</v>
      </c>
      <c r="I221" s="23">
        <f t="shared" si="3"/>
        <v>2378.1999999999998</v>
      </c>
      <c r="J221" s="39">
        <f>I221 / J10</f>
        <v>1.2643157563477147E-3</v>
      </c>
    </row>
    <row r="222" spans="1:10" ht="65.099999999999994" customHeight="1" x14ac:dyDescent="0.2">
      <c r="A222" s="38" t="s">
        <v>539</v>
      </c>
      <c r="B222" s="21" t="s">
        <v>540</v>
      </c>
      <c r="C222" s="21" t="s">
        <v>18</v>
      </c>
      <c r="D222" s="21" t="s">
        <v>541</v>
      </c>
      <c r="E222" s="22" t="s">
        <v>47</v>
      </c>
      <c r="F222" s="80">
        <v>3.2</v>
      </c>
      <c r="G222" s="23">
        <v>203.95</v>
      </c>
      <c r="H222" s="23">
        <f>ROUND(ROUND(G222 * J11, 2) + G222, 2)</f>
        <v>258.49</v>
      </c>
      <c r="I222" s="23">
        <f t="shared" si="3"/>
        <v>827.17</v>
      </c>
      <c r="J222" s="39">
        <f>I222 / J10</f>
        <v>4.3974605339254025E-4</v>
      </c>
    </row>
    <row r="223" spans="1:10" ht="51.95" customHeight="1" x14ac:dyDescent="0.2">
      <c r="A223" s="38" t="s">
        <v>542</v>
      </c>
      <c r="B223" s="21" t="s">
        <v>543</v>
      </c>
      <c r="C223" s="21" t="s">
        <v>18</v>
      </c>
      <c r="D223" s="21" t="s">
        <v>544</v>
      </c>
      <c r="E223" s="22" t="s">
        <v>20</v>
      </c>
      <c r="F223" s="80">
        <v>1.68</v>
      </c>
      <c r="G223" s="23">
        <v>282.69</v>
      </c>
      <c r="H223" s="23">
        <f>ROUND(ROUND(G223 * J11, 2) + G223, 2)</f>
        <v>358.28</v>
      </c>
      <c r="I223" s="23">
        <f t="shared" si="3"/>
        <v>601.91</v>
      </c>
      <c r="J223" s="39">
        <f>I223 / J10</f>
        <v>3.1999171512204735E-4</v>
      </c>
    </row>
    <row r="224" spans="1:10" ht="39" customHeight="1" x14ac:dyDescent="0.2">
      <c r="A224" s="38" t="s">
        <v>545</v>
      </c>
      <c r="B224" s="21" t="s">
        <v>546</v>
      </c>
      <c r="C224" s="21" t="s">
        <v>18</v>
      </c>
      <c r="D224" s="21" t="s">
        <v>547</v>
      </c>
      <c r="E224" s="22" t="s">
        <v>47</v>
      </c>
      <c r="F224" s="80">
        <v>88.32</v>
      </c>
      <c r="G224" s="23">
        <v>59.28</v>
      </c>
      <c r="H224" s="23">
        <f>ROUND(ROUND(G224 * J11, 2) + G224, 2)</f>
        <v>75.13</v>
      </c>
      <c r="I224" s="23">
        <f t="shared" si="3"/>
        <v>6635.48</v>
      </c>
      <c r="J224" s="39">
        <f>I224 / J10</f>
        <v>3.5276015116180869E-3</v>
      </c>
    </row>
    <row r="225" spans="1:10" ht="39" customHeight="1" x14ac:dyDescent="0.2">
      <c r="A225" s="38" t="s">
        <v>548</v>
      </c>
      <c r="B225" s="21" t="s">
        <v>549</v>
      </c>
      <c r="C225" s="21" t="s">
        <v>18</v>
      </c>
      <c r="D225" s="21" t="s">
        <v>550</v>
      </c>
      <c r="E225" s="22" t="s">
        <v>47</v>
      </c>
      <c r="F225" s="80">
        <v>38.44</v>
      </c>
      <c r="G225" s="23">
        <v>38.33</v>
      </c>
      <c r="H225" s="23">
        <f>ROUND(ROUND(G225 * J11, 2) + G225, 2)</f>
        <v>48.58</v>
      </c>
      <c r="I225" s="23">
        <f t="shared" si="3"/>
        <v>1867.42</v>
      </c>
      <c r="J225" s="39">
        <f>I225 / J10</f>
        <v>9.9277122601919504E-4</v>
      </c>
    </row>
    <row r="226" spans="1:10" ht="39" customHeight="1" x14ac:dyDescent="0.2">
      <c r="A226" s="38" t="s">
        <v>551</v>
      </c>
      <c r="B226" s="21" t="s">
        <v>552</v>
      </c>
      <c r="C226" s="21" t="s">
        <v>18</v>
      </c>
      <c r="D226" s="21" t="s">
        <v>553</v>
      </c>
      <c r="E226" s="22" t="s">
        <v>47</v>
      </c>
      <c r="F226" s="80">
        <v>8.8000000000000007</v>
      </c>
      <c r="G226" s="23">
        <v>48.93</v>
      </c>
      <c r="H226" s="23">
        <f>ROUND(ROUND(G226 * J11, 2) + G226, 2)</f>
        <v>62.01</v>
      </c>
      <c r="I226" s="23">
        <f t="shared" si="3"/>
        <v>545.69000000000005</v>
      </c>
      <c r="J226" s="39">
        <f>I226 / J10</f>
        <v>2.901036351363992E-4</v>
      </c>
    </row>
    <row r="227" spans="1:10" ht="24" customHeight="1" x14ac:dyDescent="0.2">
      <c r="A227" s="74" t="s">
        <v>554</v>
      </c>
      <c r="B227" s="75" t="s">
        <v>13</v>
      </c>
      <c r="C227" s="75"/>
      <c r="D227" s="75" t="s">
        <v>555</v>
      </c>
      <c r="E227" s="76"/>
      <c r="F227" s="77">
        <v>1</v>
      </c>
      <c r="G227" s="77" t="s">
        <v>15</v>
      </c>
      <c r="H227" s="78">
        <f>I228 + I230 + I240 + I250 + I270</f>
        <v>97968.38</v>
      </c>
      <c r="I227" s="78">
        <f t="shared" si="3"/>
        <v>97968.38</v>
      </c>
      <c r="J227" s="79">
        <f>I227 / J10</f>
        <v>5.2082653459700756E-2</v>
      </c>
    </row>
    <row r="228" spans="1:10" ht="24" customHeight="1" x14ac:dyDescent="0.2">
      <c r="A228" s="74" t="s">
        <v>556</v>
      </c>
      <c r="B228" s="75" t="s">
        <v>13</v>
      </c>
      <c r="C228" s="75"/>
      <c r="D228" s="75" t="s">
        <v>557</v>
      </c>
      <c r="E228" s="76"/>
      <c r="F228" s="77">
        <v>1</v>
      </c>
      <c r="G228" s="77" t="s">
        <v>15</v>
      </c>
      <c r="H228" s="78">
        <f>I229</f>
        <v>5180.04</v>
      </c>
      <c r="I228" s="78">
        <f t="shared" si="3"/>
        <v>5180.04</v>
      </c>
      <c r="J228" s="79">
        <f>I228 / J10</f>
        <v>2.7538500506733734E-3</v>
      </c>
    </row>
    <row r="229" spans="1:10" ht="65.099999999999994" customHeight="1" x14ac:dyDescent="0.2">
      <c r="A229" s="38" t="s">
        <v>558</v>
      </c>
      <c r="B229" s="21" t="s">
        <v>559</v>
      </c>
      <c r="C229" s="21" t="s">
        <v>18</v>
      </c>
      <c r="D229" s="21" t="s">
        <v>560</v>
      </c>
      <c r="E229" s="22" t="s">
        <v>201</v>
      </c>
      <c r="F229" s="80">
        <v>1</v>
      </c>
      <c r="G229" s="23">
        <v>4087.14</v>
      </c>
      <c r="H229" s="23">
        <f>ROUND(ROUND(G229 * J11, 2) + G229, 2)</f>
        <v>5180.04</v>
      </c>
      <c r="I229" s="23">
        <f t="shared" si="3"/>
        <v>5180.04</v>
      </c>
      <c r="J229" s="39">
        <f>I229 / J10</f>
        <v>2.7538500506733734E-3</v>
      </c>
    </row>
    <row r="230" spans="1:10" ht="24" customHeight="1" x14ac:dyDescent="0.2">
      <c r="A230" s="74" t="s">
        <v>561</v>
      </c>
      <c r="B230" s="75" t="s">
        <v>13</v>
      </c>
      <c r="C230" s="75"/>
      <c r="D230" s="75" t="s">
        <v>562</v>
      </c>
      <c r="E230" s="76"/>
      <c r="F230" s="77">
        <v>1</v>
      </c>
      <c r="G230" s="77" t="s">
        <v>15</v>
      </c>
      <c r="H230" s="78">
        <f>I231 + I232 + I233 + I234 + I235 + I236 + I237 + I238 + I239</f>
        <v>46438.899999999994</v>
      </c>
      <c r="I230" s="78">
        <f t="shared" si="3"/>
        <v>46438.9</v>
      </c>
      <c r="J230" s="79">
        <f>I230 / J10</f>
        <v>2.4688181388216254E-2</v>
      </c>
    </row>
    <row r="231" spans="1:10" ht="39" customHeight="1" x14ac:dyDescent="0.2">
      <c r="A231" s="38" t="s">
        <v>563</v>
      </c>
      <c r="B231" s="21" t="s">
        <v>564</v>
      </c>
      <c r="C231" s="21" t="s">
        <v>18</v>
      </c>
      <c r="D231" s="21" t="s">
        <v>565</v>
      </c>
      <c r="E231" s="22" t="s">
        <v>47</v>
      </c>
      <c r="F231" s="80">
        <v>750</v>
      </c>
      <c r="G231" s="23">
        <v>3.18</v>
      </c>
      <c r="H231" s="23">
        <f>ROUND(ROUND(G231 * J11, 2) + G231, 2)</f>
        <v>4.03</v>
      </c>
      <c r="I231" s="23">
        <f t="shared" si="3"/>
        <v>3022.5</v>
      </c>
      <c r="J231" s="39">
        <f>I231 / J10</f>
        <v>1.6068431475742024E-3</v>
      </c>
    </row>
    <row r="232" spans="1:10" ht="39" customHeight="1" x14ac:dyDescent="0.2">
      <c r="A232" s="38" t="s">
        <v>566</v>
      </c>
      <c r="B232" s="21" t="s">
        <v>567</v>
      </c>
      <c r="C232" s="21" t="s">
        <v>18</v>
      </c>
      <c r="D232" s="21" t="s">
        <v>568</v>
      </c>
      <c r="E232" s="22" t="s">
        <v>47</v>
      </c>
      <c r="F232" s="80">
        <v>900</v>
      </c>
      <c r="G232" s="23">
        <v>4.6399999999999997</v>
      </c>
      <c r="H232" s="23">
        <f>ROUND(ROUND(G232 * J11, 2) + G232, 2)</f>
        <v>5.88</v>
      </c>
      <c r="I232" s="23">
        <f t="shared" si="3"/>
        <v>5292</v>
      </c>
      <c r="J232" s="39">
        <f>I232 / J10</f>
        <v>2.8133710295989013E-3</v>
      </c>
    </row>
    <row r="233" spans="1:10" ht="39" customHeight="1" x14ac:dyDescent="0.2">
      <c r="A233" s="38" t="s">
        <v>569</v>
      </c>
      <c r="B233" s="21" t="s">
        <v>570</v>
      </c>
      <c r="C233" s="21" t="s">
        <v>18</v>
      </c>
      <c r="D233" s="21" t="s">
        <v>571</v>
      </c>
      <c r="E233" s="22" t="s">
        <v>47</v>
      </c>
      <c r="F233" s="80">
        <v>400</v>
      </c>
      <c r="G233" s="23">
        <v>9.01</v>
      </c>
      <c r="H233" s="23">
        <f>ROUND(ROUND(G233 * J11, 2) + G233, 2)</f>
        <v>11.42</v>
      </c>
      <c r="I233" s="23">
        <f t="shared" si="3"/>
        <v>4568</v>
      </c>
      <c r="J233" s="39">
        <f>I233 / J10</f>
        <v>2.428472952231251E-3</v>
      </c>
    </row>
    <row r="234" spans="1:10" ht="39" customHeight="1" x14ac:dyDescent="0.2">
      <c r="A234" s="38" t="s">
        <v>572</v>
      </c>
      <c r="B234" s="21" t="s">
        <v>573</v>
      </c>
      <c r="C234" s="21" t="s">
        <v>18</v>
      </c>
      <c r="D234" s="21" t="s">
        <v>574</v>
      </c>
      <c r="E234" s="22" t="s">
        <v>47</v>
      </c>
      <c r="F234" s="80">
        <v>230</v>
      </c>
      <c r="G234" s="23">
        <v>18.600000000000001</v>
      </c>
      <c r="H234" s="23">
        <f>ROUND(ROUND(G234 * J11, 2) + G234, 2)</f>
        <v>23.57</v>
      </c>
      <c r="I234" s="23">
        <f t="shared" si="3"/>
        <v>5421.1</v>
      </c>
      <c r="J234" s="39">
        <f>I234 / J10</f>
        <v>2.8820040983670832E-3</v>
      </c>
    </row>
    <row r="235" spans="1:10" ht="51.95" customHeight="1" x14ac:dyDescent="0.2">
      <c r="A235" s="38" t="s">
        <v>575</v>
      </c>
      <c r="B235" s="21" t="s">
        <v>576</v>
      </c>
      <c r="C235" s="21" t="s">
        <v>27</v>
      </c>
      <c r="D235" s="21" t="s">
        <v>577</v>
      </c>
      <c r="E235" s="22" t="s">
        <v>68</v>
      </c>
      <c r="F235" s="80">
        <v>650</v>
      </c>
      <c r="G235" s="23">
        <v>18.75</v>
      </c>
      <c r="H235" s="23">
        <f>ROUND(ROUND(G235 * J11, 2) + G235, 2)</f>
        <v>23.76</v>
      </c>
      <c r="I235" s="23">
        <f t="shared" si="3"/>
        <v>15444</v>
      </c>
      <c r="J235" s="39">
        <f>I235 / J10</f>
        <v>8.2104501476049571E-3</v>
      </c>
    </row>
    <row r="236" spans="1:10" ht="51.95" customHeight="1" x14ac:dyDescent="0.2">
      <c r="A236" s="38" t="s">
        <v>578</v>
      </c>
      <c r="B236" s="21" t="s">
        <v>579</v>
      </c>
      <c r="C236" s="21" t="s">
        <v>27</v>
      </c>
      <c r="D236" s="21" t="s">
        <v>580</v>
      </c>
      <c r="E236" s="22" t="s">
        <v>68</v>
      </c>
      <c r="F236" s="80">
        <v>200</v>
      </c>
      <c r="G236" s="23">
        <v>31.85</v>
      </c>
      <c r="H236" s="23">
        <f>ROUND(ROUND(G236 * J11, 2) + G236, 2)</f>
        <v>40.369999999999997</v>
      </c>
      <c r="I236" s="23">
        <f t="shared" si="3"/>
        <v>8074</v>
      </c>
      <c r="J236" s="39">
        <f>I236 / J10</f>
        <v>4.2923578406994572E-3</v>
      </c>
    </row>
    <row r="237" spans="1:10" ht="39" customHeight="1" x14ac:dyDescent="0.2">
      <c r="A237" s="38" t="s">
        <v>581</v>
      </c>
      <c r="B237" s="21" t="s">
        <v>582</v>
      </c>
      <c r="C237" s="21" t="s">
        <v>18</v>
      </c>
      <c r="D237" s="21" t="s">
        <v>583</v>
      </c>
      <c r="E237" s="22" t="s">
        <v>47</v>
      </c>
      <c r="F237" s="80">
        <v>50</v>
      </c>
      <c r="G237" s="23">
        <v>52.9</v>
      </c>
      <c r="H237" s="23">
        <f>ROUND(ROUND(G237 * J11, 2) + G237, 2)</f>
        <v>67.05</v>
      </c>
      <c r="I237" s="23">
        <f t="shared" si="3"/>
        <v>3352.5</v>
      </c>
      <c r="J237" s="39">
        <f>I237 / J10</f>
        <v>1.7822801165401202E-3</v>
      </c>
    </row>
    <row r="238" spans="1:10" ht="24" customHeight="1" x14ac:dyDescent="0.2">
      <c r="A238" s="38" t="s">
        <v>584</v>
      </c>
      <c r="B238" s="21" t="s">
        <v>585</v>
      </c>
      <c r="C238" s="21" t="s">
        <v>154</v>
      </c>
      <c r="D238" s="21" t="s">
        <v>586</v>
      </c>
      <c r="E238" s="22" t="s">
        <v>47</v>
      </c>
      <c r="F238" s="80">
        <v>30</v>
      </c>
      <c r="G238" s="23">
        <v>9.01</v>
      </c>
      <c r="H238" s="23">
        <f>ROUND(ROUND(G238 * J11, 2) + G238, 2)</f>
        <v>11.42</v>
      </c>
      <c r="I238" s="23">
        <f t="shared" si="3"/>
        <v>342.6</v>
      </c>
      <c r="J238" s="39">
        <f>I238 / J10</f>
        <v>1.8213547141734384E-4</v>
      </c>
    </row>
    <row r="239" spans="1:10" ht="26.1" customHeight="1" x14ac:dyDescent="0.2">
      <c r="A239" s="38" t="s">
        <v>587</v>
      </c>
      <c r="B239" s="21" t="s">
        <v>588</v>
      </c>
      <c r="C239" s="21" t="s">
        <v>154</v>
      </c>
      <c r="D239" s="21" t="s">
        <v>589</v>
      </c>
      <c r="E239" s="22" t="s">
        <v>68</v>
      </c>
      <c r="F239" s="80">
        <v>60</v>
      </c>
      <c r="G239" s="23">
        <v>12.13</v>
      </c>
      <c r="H239" s="23">
        <f>ROUND(ROUND(G239 * J11, 2) + G239, 2)</f>
        <v>15.37</v>
      </c>
      <c r="I239" s="23">
        <f t="shared" si="3"/>
        <v>922.2</v>
      </c>
      <c r="J239" s="39">
        <f>I239 / J10</f>
        <v>4.9026658418293775E-4</v>
      </c>
    </row>
    <row r="240" spans="1:10" ht="24" customHeight="1" x14ac:dyDescent="0.2">
      <c r="A240" s="74" t="s">
        <v>590</v>
      </c>
      <c r="B240" s="75" t="s">
        <v>13</v>
      </c>
      <c r="C240" s="75"/>
      <c r="D240" s="75" t="s">
        <v>591</v>
      </c>
      <c r="E240" s="76"/>
      <c r="F240" s="77">
        <v>1</v>
      </c>
      <c r="G240" s="77" t="s">
        <v>15</v>
      </c>
      <c r="H240" s="78">
        <f>I241 + I242 + I243 + I244 + I245 + I246 + I247 + I248 + I249</f>
        <v>31990.240000000002</v>
      </c>
      <c r="I240" s="78">
        <f t="shared" si="3"/>
        <v>31990.240000000002</v>
      </c>
      <c r="J240" s="79">
        <f>I240 / J10</f>
        <v>1.7006881036643228E-2</v>
      </c>
    </row>
    <row r="241" spans="1:10" ht="26.1" customHeight="1" x14ac:dyDescent="0.2">
      <c r="A241" s="38" t="s">
        <v>592</v>
      </c>
      <c r="B241" s="21" t="s">
        <v>159</v>
      </c>
      <c r="C241" s="21" t="s">
        <v>18</v>
      </c>
      <c r="D241" s="21" t="s">
        <v>160</v>
      </c>
      <c r="E241" s="22" t="s">
        <v>36</v>
      </c>
      <c r="F241" s="80">
        <v>20</v>
      </c>
      <c r="G241" s="23">
        <v>80.459999999999994</v>
      </c>
      <c r="H241" s="23">
        <f>ROUND(ROUND(G241 * J11, 2) + G241, 2)</f>
        <v>101.98</v>
      </c>
      <c r="I241" s="23">
        <f t="shared" si="3"/>
        <v>2039.6</v>
      </c>
      <c r="J241" s="39">
        <f>I241 / J10</f>
        <v>1.0843067936451092E-3</v>
      </c>
    </row>
    <row r="242" spans="1:10" ht="26.1" customHeight="1" x14ac:dyDescent="0.2">
      <c r="A242" s="38" t="s">
        <v>593</v>
      </c>
      <c r="B242" s="21" t="s">
        <v>444</v>
      </c>
      <c r="C242" s="21" t="s">
        <v>18</v>
      </c>
      <c r="D242" s="21" t="s">
        <v>445</v>
      </c>
      <c r="E242" s="22" t="s">
        <v>36</v>
      </c>
      <c r="F242" s="80">
        <v>15</v>
      </c>
      <c r="G242" s="23">
        <v>80.459999999999994</v>
      </c>
      <c r="H242" s="23">
        <f>ROUND(ROUND(G242 * J11, 2) + G242, 2)</f>
        <v>101.98</v>
      </c>
      <c r="I242" s="23">
        <f t="shared" si="3"/>
        <v>1529.7</v>
      </c>
      <c r="J242" s="39">
        <f>I242 / J10</f>
        <v>8.1323009523383207E-4</v>
      </c>
    </row>
    <row r="243" spans="1:10" ht="39" customHeight="1" x14ac:dyDescent="0.2">
      <c r="A243" s="38" t="s">
        <v>594</v>
      </c>
      <c r="B243" s="21" t="s">
        <v>595</v>
      </c>
      <c r="C243" s="21" t="s">
        <v>18</v>
      </c>
      <c r="D243" s="21" t="s">
        <v>596</v>
      </c>
      <c r="E243" s="22" t="s">
        <v>47</v>
      </c>
      <c r="F243" s="80">
        <v>360</v>
      </c>
      <c r="G243" s="23">
        <v>33.119999999999997</v>
      </c>
      <c r="H243" s="23">
        <f>ROUND(ROUND(G243 * J11, 2) + G243, 2)</f>
        <v>41.98</v>
      </c>
      <c r="I243" s="23">
        <f t="shared" si="3"/>
        <v>15112.8</v>
      </c>
      <c r="J243" s="39">
        <f>I243 / J10</f>
        <v>8.0343752260246173E-3</v>
      </c>
    </row>
    <row r="244" spans="1:10" ht="39" customHeight="1" x14ac:dyDescent="0.2">
      <c r="A244" s="38" t="s">
        <v>597</v>
      </c>
      <c r="B244" s="21" t="s">
        <v>598</v>
      </c>
      <c r="C244" s="21" t="s">
        <v>18</v>
      </c>
      <c r="D244" s="21" t="s">
        <v>599</v>
      </c>
      <c r="E244" s="22" t="s">
        <v>47</v>
      </c>
      <c r="F244" s="80">
        <v>140</v>
      </c>
      <c r="G244" s="23">
        <v>30.82</v>
      </c>
      <c r="H244" s="23">
        <f>ROUND(ROUND(G244 * J11, 2) + G244, 2)</f>
        <v>39.06</v>
      </c>
      <c r="I244" s="23">
        <f t="shared" si="3"/>
        <v>5468.4</v>
      </c>
      <c r="J244" s="39">
        <f>I244 / J10</f>
        <v>2.9071500639188644E-3</v>
      </c>
    </row>
    <row r="245" spans="1:10" ht="39" customHeight="1" x14ac:dyDescent="0.2">
      <c r="A245" s="38" t="s">
        <v>600</v>
      </c>
      <c r="B245" s="21" t="s">
        <v>601</v>
      </c>
      <c r="C245" s="21" t="s">
        <v>18</v>
      </c>
      <c r="D245" s="21" t="s">
        <v>602</v>
      </c>
      <c r="E245" s="22" t="s">
        <v>47</v>
      </c>
      <c r="F245" s="80">
        <v>150</v>
      </c>
      <c r="G245" s="23">
        <v>5.52</v>
      </c>
      <c r="H245" s="23">
        <f>ROUND(ROUND(G245 * J11, 2) + G245, 2)</f>
        <v>7</v>
      </c>
      <c r="I245" s="23">
        <f t="shared" si="3"/>
        <v>1050</v>
      </c>
      <c r="J245" s="39">
        <f>I245 / J10</f>
        <v>5.5820853761882959E-4</v>
      </c>
    </row>
    <row r="246" spans="1:10" ht="39" customHeight="1" x14ac:dyDescent="0.2">
      <c r="A246" s="38" t="s">
        <v>603</v>
      </c>
      <c r="B246" s="21" t="s">
        <v>399</v>
      </c>
      <c r="C246" s="21" t="s">
        <v>18</v>
      </c>
      <c r="D246" s="21" t="s">
        <v>400</v>
      </c>
      <c r="E246" s="22" t="s">
        <v>47</v>
      </c>
      <c r="F246" s="80">
        <v>150</v>
      </c>
      <c r="G246" s="23">
        <v>4.13</v>
      </c>
      <c r="H246" s="23">
        <f>ROUND(ROUND(G246 * J11, 2) + G246, 2)</f>
        <v>5.23</v>
      </c>
      <c r="I246" s="23">
        <f t="shared" si="3"/>
        <v>784.5</v>
      </c>
      <c r="J246" s="39">
        <f>I246 / J10</f>
        <v>4.170615216780684E-4</v>
      </c>
    </row>
    <row r="247" spans="1:10" ht="51.95" customHeight="1" x14ac:dyDescent="0.2">
      <c r="A247" s="38" t="s">
        <v>604</v>
      </c>
      <c r="B247" s="21" t="s">
        <v>447</v>
      </c>
      <c r="C247" s="21" t="s">
        <v>18</v>
      </c>
      <c r="D247" s="21" t="s">
        <v>448</v>
      </c>
      <c r="E247" s="22" t="s">
        <v>47</v>
      </c>
      <c r="F247" s="80">
        <v>150</v>
      </c>
      <c r="G247" s="23">
        <v>3.02</v>
      </c>
      <c r="H247" s="23">
        <f>ROUND(ROUND(G247 * J11, 2) + G247, 2)</f>
        <v>3.83</v>
      </c>
      <c r="I247" s="23">
        <f t="shared" si="3"/>
        <v>574.5</v>
      </c>
      <c r="J247" s="39">
        <f>I247 / J10</f>
        <v>3.0541981415430249E-4</v>
      </c>
    </row>
    <row r="248" spans="1:10" ht="39" customHeight="1" x14ac:dyDescent="0.2">
      <c r="A248" s="38" t="s">
        <v>605</v>
      </c>
      <c r="B248" s="21" t="s">
        <v>606</v>
      </c>
      <c r="C248" s="21" t="s">
        <v>27</v>
      </c>
      <c r="D248" s="21" t="s">
        <v>607</v>
      </c>
      <c r="E248" s="22" t="s">
        <v>240</v>
      </c>
      <c r="F248" s="80">
        <v>9</v>
      </c>
      <c r="G248" s="23">
        <v>225.36</v>
      </c>
      <c r="H248" s="23">
        <f>ROUND(ROUND(G248 * J11, 2) + G248, 2)</f>
        <v>285.62</v>
      </c>
      <c r="I248" s="23">
        <f t="shared" si="3"/>
        <v>2570.58</v>
      </c>
      <c r="J248" s="39">
        <f>I248 / J10</f>
        <v>1.3665901929830579E-3</v>
      </c>
    </row>
    <row r="249" spans="1:10" ht="51.95" customHeight="1" x14ac:dyDescent="0.2">
      <c r="A249" s="38" t="s">
        <v>608</v>
      </c>
      <c r="B249" s="21" t="s">
        <v>609</v>
      </c>
      <c r="C249" s="21" t="s">
        <v>18</v>
      </c>
      <c r="D249" s="21" t="s">
        <v>610</v>
      </c>
      <c r="E249" s="22" t="s">
        <v>47</v>
      </c>
      <c r="F249" s="80">
        <v>41</v>
      </c>
      <c r="G249" s="23">
        <v>55.04</v>
      </c>
      <c r="H249" s="23">
        <f>ROUND(ROUND(G249 * J11, 2) + G249, 2)</f>
        <v>69.760000000000005</v>
      </c>
      <c r="I249" s="23">
        <f t="shared" si="3"/>
        <v>2860.16</v>
      </c>
      <c r="J249" s="39">
        <f>I249 / J10</f>
        <v>1.5205387913865443E-3</v>
      </c>
    </row>
    <row r="250" spans="1:10" ht="24" customHeight="1" x14ac:dyDescent="0.2">
      <c r="A250" s="74" t="s">
        <v>611</v>
      </c>
      <c r="B250" s="75" t="s">
        <v>13</v>
      </c>
      <c r="C250" s="75"/>
      <c r="D250" s="75" t="s">
        <v>612</v>
      </c>
      <c r="E250" s="76"/>
      <c r="F250" s="77">
        <v>1</v>
      </c>
      <c r="G250" s="77" t="s">
        <v>15</v>
      </c>
      <c r="H250" s="78">
        <f>I251 + I252 + I253 + I254 + I255 + I256 + I257 + I258 + I259 + I260 + I261 + I262 + I263 + I264 + I265 + I266 + I267 + I268 + I269</f>
        <v>9321.659999999998</v>
      </c>
      <c r="I250" s="78">
        <f t="shared" si="3"/>
        <v>9321.66</v>
      </c>
      <c r="J250" s="79">
        <f>I250 / J10</f>
        <v>4.9556478064570848E-3</v>
      </c>
    </row>
    <row r="251" spans="1:10" ht="51.95" customHeight="1" x14ac:dyDescent="0.2">
      <c r="A251" s="38" t="s">
        <v>613</v>
      </c>
      <c r="B251" s="21" t="s">
        <v>614</v>
      </c>
      <c r="C251" s="21" t="s">
        <v>18</v>
      </c>
      <c r="D251" s="21" t="s">
        <v>615</v>
      </c>
      <c r="E251" s="22" t="s">
        <v>201</v>
      </c>
      <c r="F251" s="80">
        <v>4</v>
      </c>
      <c r="G251" s="23">
        <v>31.53</v>
      </c>
      <c r="H251" s="23">
        <f>ROUND(ROUND(G251 * J11, 2) + G251, 2)</f>
        <v>39.96</v>
      </c>
      <c r="I251" s="23">
        <f t="shared" si="3"/>
        <v>159.84</v>
      </c>
      <c r="J251" s="39">
        <f>I251 / J10</f>
        <v>8.4975288240946403E-5</v>
      </c>
    </row>
    <row r="252" spans="1:10" ht="51.95" customHeight="1" x14ac:dyDescent="0.2">
      <c r="A252" s="38" t="s">
        <v>616</v>
      </c>
      <c r="B252" s="21" t="s">
        <v>617</v>
      </c>
      <c r="C252" s="21" t="s">
        <v>18</v>
      </c>
      <c r="D252" s="21" t="s">
        <v>618</v>
      </c>
      <c r="E252" s="22" t="s">
        <v>201</v>
      </c>
      <c r="F252" s="80">
        <v>2</v>
      </c>
      <c r="G252" s="23">
        <v>45.48</v>
      </c>
      <c r="H252" s="23">
        <f>ROUND(ROUND(G252 * J11, 2) + G252, 2)</f>
        <v>57.64</v>
      </c>
      <c r="I252" s="23">
        <f t="shared" si="3"/>
        <v>115.28</v>
      </c>
      <c r="J252" s="39">
        <f>I252 / J10</f>
        <v>6.1285981158760649E-5</v>
      </c>
    </row>
    <row r="253" spans="1:10" ht="51.95" customHeight="1" x14ac:dyDescent="0.2">
      <c r="A253" s="38" t="s">
        <v>619</v>
      </c>
      <c r="B253" s="21" t="s">
        <v>620</v>
      </c>
      <c r="C253" s="21" t="s">
        <v>18</v>
      </c>
      <c r="D253" s="21" t="s">
        <v>621</v>
      </c>
      <c r="E253" s="22" t="s">
        <v>201</v>
      </c>
      <c r="F253" s="80">
        <v>2</v>
      </c>
      <c r="G253" s="23">
        <v>38.950000000000003</v>
      </c>
      <c r="H253" s="23">
        <f>ROUND(ROUND(G253 * J11, 2) + G253, 2)</f>
        <v>49.37</v>
      </c>
      <c r="I253" s="23">
        <f t="shared" si="3"/>
        <v>98.74</v>
      </c>
      <c r="J253" s="39">
        <f>I253 / J10</f>
        <v>5.249286762331736E-5</v>
      </c>
    </row>
    <row r="254" spans="1:10" ht="78" customHeight="1" x14ac:dyDescent="0.2">
      <c r="A254" s="38" t="s">
        <v>622</v>
      </c>
      <c r="B254" s="21" t="s">
        <v>623</v>
      </c>
      <c r="C254" s="21" t="s">
        <v>18</v>
      </c>
      <c r="D254" s="21" t="s">
        <v>624</v>
      </c>
      <c r="E254" s="22" t="s">
        <v>201</v>
      </c>
      <c r="F254" s="80">
        <v>2</v>
      </c>
      <c r="G254" s="23">
        <v>51.52</v>
      </c>
      <c r="H254" s="23">
        <f>ROUND(ROUND(G254 * J11, 2) + G254, 2)</f>
        <v>65.3</v>
      </c>
      <c r="I254" s="23">
        <f t="shared" si="3"/>
        <v>130.6</v>
      </c>
      <c r="J254" s="39">
        <f>I254 / J10</f>
        <v>6.9430509536208708E-5</v>
      </c>
    </row>
    <row r="255" spans="1:10" ht="51.95" customHeight="1" x14ac:dyDescent="0.2">
      <c r="A255" s="38" t="s">
        <v>625</v>
      </c>
      <c r="B255" s="21" t="s">
        <v>626</v>
      </c>
      <c r="C255" s="21" t="s">
        <v>18</v>
      </c>
      <c r="D255" s="21" t="s">
        <v>627</v>
      </c>
      <c r="E255" s="22" t="s">
        <v>201</v>
      </c>
      <c r="F255" s="80">
        <v>15</v>
      </c>
      <c r="G255" s="23">
        <v>37.57</v>
      </c>
      <c r="H255" s="23">
        <f>ROUND(ROUND(G255 * J11, 2) + G255, 2)</f>
        <v>47.62</v>
      </c>
      <c r="I255" s="23">
        <f t="shared" si="3"/>
        <v>714.3</v>
      </c>
      <c r="J255" s="39">
        <f>I255 / J10</f>
        <v>3.7974129373440947E-4</v>
      </c>
    </row>
    <row r="256" spans="1:10" ht="65.099999999999994" customHeight="1" x14ac:dyDescent="0.2">
      <c r="A256" s="38" t="s">
        <v>628</v>
      </c>
      <c r="B256" s="21" t="s">
        <v>629</v>
      </c>
      <c r="C256" s="21" t="s">
        <v>18</v>
      </c>
      <c r="D256" s="21" t="s">
        <v>630</v>
      </c>
      <c r="E256" s="22" t="s">
        <v>201</v>
      </c>
      <c r="F256" s="80">
        <v>5</v>
      </c>
      <c r="G256" s="23">
        <v>57.56</v>
      </c>
      <c r="H256" s="23">
        <f>ROUND(ROUND(G256 * J11, 2) + G256, 2)</f>
        <v>72.95</v>
      </c>
      <c r="I256" s="23">
        <f t="shared" si="3"/>
        <v>364.75</v>
      </c>
      <c r="J256" s="39">
        <f>I256 / J10</f>
        <v>1.939110134252077E-4</v>
      </c>
    </row>
    <row r="257" spans="1:10" ht="39" customHeight="1" x14ac:dyDescent="0.2">
      <c r="A257" s="38" t="s">
        <v>631</v>
      </c>
      <c r="B257" s="21" t="s">
        <v>632</v>
      </c>
      <c r="C257" s="21" t="s">
        <v>18</v>
      </c>
      <c r="D257" s="21" t="s">
        <v>633</v>
      </c>
      <c r="E257" s="22" t="s">
        <v>201</v>
      </c>
      <c r="F257" s="80">
        <v>30</v>
      </c>
      <c r="G257" s="23">
        <v>11.13</v>
      </c>
      <c r="H257" s="23">
        <f>ROUND(ROUND(G257 * J11, 2) + G257, 2)</f>
        <v>14.11</v>
      </c>
      <c r="I257" s="23">
        <f t="shared" si="3"/>
        <v>423.3</v>
      </c>
      <c r="J257" s="39">
        <f>I257 / J10</f>
        <v>2.2503778473719101E-4</v>
      </c>
    </row>
    <row r="258" spans="1:10" ht="51.95" customHeight="1" x14ac:dyDescent="0.2">
      <c r="A258" s="38" t="s">
        <v>634</v>
      </c>
      <c r="B258" s="21" t="s">
        <v>635</v>
      </c>
      <c r="C258" s="21" t="s">
        <v>18</v>
      </c>
      <c r="D258" s="21" t="s">
        <v>636</v>
      </c>
      <c r="E258" s="22" t="s">
        <v>201</v>
      </c>
      <c r="F258" s="80">
        <v>13</v>
      </c>
      <c r="G258" s="23">
        <v>11.48</v>
      </c>
      <c r="H258" s="23">
        <f>ROUND(ROUND(G258 * J11, 2) + G258, 2)</f>
        <v>14.55</v>
      </c>
      <c r="I258" s="23">
        <f t="shared" si="3"/>
        <v>189.15</v>
      </c>
      <c r="J258" s="39">
        <f>I258 / J10</f>
        <v>1.0055728084819201E-4</v>
      </c>
    </row>
    <row r="259" spans="1:10" ht="39" customHeight="1" x14ac:dyDescent="0.2">
      <c r="A259" s="38" t="s">
        <v>637</v>
      </c>
      <c r="B259" s="21" t="s">
        <v>638</v>
      </c>
      <c r="C259" s="21" t="s">
        <v>27</v>
      </c>
      <c r="D259" s="21" t="s">
        <v>639</v>
      </c>
      <c r="E259" s="22" t="s">
        <v>240</v>
      </c>
      <c r="F259" s="80">
        <v>8</v>
      </c>
      <c r="G259" s="23">
        <v>19.989999999999998</v>
      </c>
      <c r="H259" s="23">
        <f>ROUND(ROUND(G259 * J11, 2) + G259, 2)</f>
        <v>25.34</v>
      </c>
      <c r="I259" s="23">
        <f t="shared" si="3"/>
        <v>202.72</v>
      </c>
      <c r="J259" s="39">
        <f>I259 / J10</f>
        <v>1.0777146166294203E-4</v>
      </c>
    </row>
    <row r="260" spans="1:10" ht="26.1" customHeight="1" x14ac:dyDescent="0.2">
      <c r="A260" s="38" t="s">
        <v>640</v>
      </c>
      <c r="B260" s="21" t="s">
        <v>641</v>
      </c>
      <c r="C260" s="21" t="s">
        <v>154</v>
      </c>
      <c r="D260" s="21" t="s">
        <v>642</v>
      </c>
      <c r="E260" s="22" t="s">
        <v>201</v>
      </c>
      <c r="F260" s="80">
        <v>5</v>
      </c>
      <c r="G260" s="23">
        <v>58.73</v>
      </c>
      <c r="H260" s="23">
        <f>ROUND(ROUND(G260 * J11, 2) + G260, 2)</f>
        <v>74.430000000000007</v>
      </c>
      <c r="I260" s="23">
        <f t="shared" si="3"/>
        <v>372.15</v>
      </c>
      <c r="J260" s="39">
        <f>I260 / J10</f>
        <v>1.9784505454747373E-4</v>
      </c>
    </row>
    <row r="261" spans="1:10" ht="26.1" customHeight="1" x14ac:dyDescent="0.2">
      <c r="A261" s="38" t="s">
        <v>643</v>
      </c>
      <c r="B261" s="21" t="s">
        <v>644</v>
      </c>
      <c r="C261" s="21" t="s">
        <v>154</v>
      </c>
      <c r="D261" s="21" t="s">
        <v>645</v>
      </c>
      <c r="E261" s="22" t="s">
        <v>201</v>
      </c>
      <c r="F261" s="80">
        <v>4</v>
      </c>
      <c r="G261" s="23">
        <v>227.78</v>
      </c>
      <c r="H261" s="23">
        <f>ROUND(ROUND(G261 * J11, 2) + G261, 2)</f>
        <v>288.69</v>
      </c>
      <c r="I261" s="23">
        <f t="shared" si="3"/>
        <v>1154.76</v>
      </c>
      <c r="J261" s="39">
        <f>I261 / J10</f>
        <v>6.1390180085782822E-4</v>
      </c>
    </row>
    <row r="262" spans="1:10" ht="39" customHeight="1" x14ac:dyDescent="0.2">
      <c r="A262" s="38" t="s">
        <v>646</v>
      </c>
      <c r="B262" s="21" t="s">
        <v>647</v>
      </c>
      <c r="C262" s="21" t="s">
        <v>154</v>
      </c>
      <c r="D262" s="21" t="s">
        <v>648</v>
      </c>
      <c r="E262" s="22" t="s">
        <v>201</v>
      </c>
      <c r="F262" s="80">
        <v>6.3</v>
      </c>
      <c r="G262" s="23">
        <v>16.3</v>
      </c>
      <c r="H262" s="23">
        <f>ROUND(ROUND(G262 * J11, 2) + G262, 2)</f>
        <v>20.66</v>
      </c>
      <c r="I262" s="23">
        <f t="shared" si="3"/>
        <v>130.16</v>
      </c>
      <c r="J262" s="39">
        <f>I262 / J10</f>
        <v>6.9196593577587479E-5</v>
      </c>
    </row>
    <row r="263" spans="1:10" ht="26.1" customHeight="1" x14ac:dyDescent="0.2">
      <c r="A263" s="38" t="s">
        <v>649</v>
      </c>
      <c r="B263" s="21" t="s">
        <v>650</v>
      </c>
      <c r="C263" s="21" t="s">
        <v>154</v>
      </c>
      <c r="D263" s="21" t="s">
        <v>651</v>
      </c>
      <c r="E263" s="22" t="s">
        <v>201</v>
      </c>
      <c r="F263" s="80">
        <v>2</v>
      </c>
      <c r="G263" s="23">
        <v>81.510000000000005</v>
      </c>
      <c r="H263" s="23">
        <f>ROUND(ROUND(G263 * J11, 2) + G263, 2)</f>
        <v>103.31</v>
      </c>
      <c r="I263" s="23">
        <f t="shared" si="3"/>
        <v>206.62</v>
      </c>
      <c r="J263" s="39">
        <f>I263 / J10</f>
        <v>1.0984480765981197E-4</v>
      </c>
    </row>
    <row r="264" spans="1:10" ht="26.1" customHeight="1" x14ac:dyDescent="0.2">
      <c r="A264" s="38" t="s">
        <v>652</v>
      </c>
      <c r="B264" s="21" t="s">
        <v>653</v>
      </c>
      <c r="C264" s="21" t="s">
        <v>154</v>
      </c>
      <c r="D264" s="21" t="s">
        <v>654</v>
      </c>
      <c r="E264" s="22" t="s">
        <v>201</v>
      </c>
      <c r="F264" s="80">
        <v>6</v>
      </c>
      <c r="G264" s="23">
        <v>63.9</v>
      </c>
      <c r="H264" s="23">
        <f>ROUND(ROUND(G264 * J11, 2) + G264, 2)</f>
        <v>80.989999999999995</v>
      </c>
      <c r="I264" s="23">
        <f t="shared" si="3"/>
        <v>485.94</v>
      </c>
      <c r="J264" s="39">
        <f>I264 / J10</f>
        <v>2.5833891120999433E-4</v>
      </c>
    </row>
    <row r="265" spans="1:10" ht="26.1" customHeight="1" x14ac:dyDescent="0.2">
      <c r="A265" s="38" t="s">
        <v>655</v>
      </c>
      <c r="B265" s="21" t="s">
        <v>656</v>
      </c>
      <c r="C265" s="21" t="s">
        <v>657</v>
      </c>
      <c r="D265" s="21" t="s">
        <v>658</v>
      </c>
      <c r="E265" s="22" t="s">
        <v>240</v>
      </c>
      <c r="F265" s="80">
        <v>6</v>
      </c>
      <c r="G265" s="23">
        <v>111.59</v>
      </c>
      <c r="H265" s="23">
        <f>ROUND(ROUND(G265 * J11, 2) + G265, 2)</f>
        <v>141.43</v>
      </c>
      <c r="I265" s="23">
        <f t="shared" si="3"/>
        <v>848.58</v>
      </c>
      <c r="J265" s="39">
        <f>I265 / J10</f>
        <v>4.5112819128817754E-4</v>
      </c>
    </row>
    <row r="266" spans="1:10" ht="26.1" customHeight="1" x14ac:dyDescent="0.2">
      <c r="A266" s="38" t="s">
        <v>659</v>
      </c>
      <c r="B266" s="21" t="s">
        <v>286</v>
      </c>
      <c r="C266" s="21" t="s">
        <v>154</v>
      </c>
      <c r="D266" s="21" t="s">
        <v>660</v>
      </c>
      <c r="E266" s="22" t="s">
        <v>201</v>
      </c>
      <c r="F266" s="80">
        <v>5</v>
      </c>
      <c r="G266" s="23">
        <v>129.58000000000001</v>
      </c>
      <c r="H266" s="23">
        <f>ROUND(ROUND(G266 * J11, 2) + G266, 2)</f>
        <v>164.23</v>
      </c>
      <c r="I266" s="23">
        <f t="shared" si="3"/>
        <v>821.15</v>
      </c>
      <c r="J266" s="39">
        <f>I266 / J10</f>
        <v>4.3654565777685896E-4</v>
      </c>
    </row>
    <row r="267" spans="1:10" ht="26.1" customHeight="1" x14ac:dyDescent="0.2">
      <c r="A267" s="38" t="s">
        <v>661</v>
      </c>
      <c r="B267" s="21" t="s">
        <v>662</v>
      </c>
      <c r="C267" s="21" t="s">
        <v>18</v>
      </c>
      <c r="D267" s="21" t="s">
        <v>663</v>
      </c>
      <c r="E267" s="22" t="s">
        <v>201</v>
      </c>
      <c r="F267" s="80">
        <v>5</v>
      </c>
      <c r="G267" s="23">
        <v>51.01</v>
      </c>
      <c r="H267" s="23">
        <f>ROUND(ROUND(G267 * J11, 2) + G267, 2)</f>
        <v>64.650000000000006</v>
      </c>
      <c r="I267" s="23">
        <f t="shared" si="3"/>
        <v>323.25</v>
      </c>
      <c r="J267" s="39">
        <f>I267 / J10</f>
        <v>1.7184848550979683E-4</v>
      </c>
    </row>
    <row r="268" spans="1:10" ht="51.95" customHeight="1" x14ac:dyDescent="0.2">
      <c r="A268" s="38" t="s">
        <v>664</v>
      </c>
      <c r="B268" s="21" t="s">
        <v>665</v>
      </c>
      <c r="C268" s="21" t="s">
        <v>18</v>
      </c>
      <c r="D268" s="21" t="s">
        <v>666</v>
      </c>
      <c r="E268" s="22" t="s">
        <v>201</v>
      </c>
      <c r="F268" s="80">
        <v>10</v>
      </c>
      <c r="G268" s="23">
        <v>182.41</v>
      </c>
      <c r="H268" s="23">
        <f>ROUND(ROUND(G268 * J11, 2) + G268, 2)</f>
        <v>231.19</v>
      </c>
      <c r="I268" s="23">
        <f t="shared" si="3"/>
        <v>2311.9</v>
      </c>
      <c r="J268" s="39">
        <f>I268 / J10</f>
        <v>1.2290688744009258E-3</v>
      </c>
    </row>
    <row r="269" spans="1:10" ht="26.1" customHeight="1" x14ac:dyDescent="0.2">
      <c r="A269" s="38" t="s">
        <v>667</v>
      </c>
      <c r="B269" s="21" t="s">
        <v>668</v>
      </c>
      <c r="C269" s="21" t="s">
        <v>657</v>
      </c>
      <c r="D269" s="21" t="s">
        <v>669</v>
      </c>
      <c r="E269" s="22" t="s">
        <v>240</v>
      </c>
      <c r="F269" s="80">
        <v>3</v>
      </c>
      <c r="G269" s="23">
        <v>70.61</v>
      </c>
      <c r="H269" s="23">
        <f>ROUND(ROUND(G269 * J11, 2) + G269, 2)</f>
        <v>89.49</v>
      </c>
      <c r="I269" s="23">
        <f t="shared" ref="I269:I332" si="4">ROUND(F269 * H269,2)</f>
        <v>268.47000000000003</v>
      </c>
      <c r="J269" s="39">
        <f>I269 / J10</f>
        <v>1.4272594866145447E-4</v>
      </c>
    </row>
    <row r="270" spans="1:10" ht="24" customHeight="1" x14ac:dyDescent="0.2">
      <c r="A270" s="74" t="s">
        <v>670</v>
      </c>
      <c r="B270" s="75" t="s">
        <v>13</v>
      </c>
      <c r="C270" s="75"/>
      <c r="D270" s="75" t="s">
        <v>671</v>
      </c>
      <c r="E270" s="76"/>
      <c r="F270" s="77">
        <v>1</v>
      </c>
      <c r="G270" s="77" t="s">
        <v>15</v>
      </c>
      <c r="H270" s="78">
        <f>I271 + I272 + I273 + I274 + I275 + I276 + I277 + I278 + I279 + I280 + I281 + I282 + I283</f>
        <v>5037.5400000000009</v>
      </c>
      <c r="I270" s="78">
        <f t="shared" si="4"/>
        <v>5037.54</v>
      </c>
      <c r="J270" s="79">
        <f>I270 / J10</f>
        <v>2.6780931777108177E-3</v>
      </c>
    </row>
    <row r="271" spans="1:10" ht="39" customHeight="1" x14ac:dyDescent="0.2">
      <c r="A271" s="38" t="s">
        <v>672</v>
      </c>
      <c r="B271" s="21" t="s">
        <v>673</v>
      </c>
      <c r="C271" s="21" t="s">
        <v>18</v>
      </c>
      <c r="D271" s="21" t="s">
        <v>674</v>
      </c>
      <c r="E271" s="22" t="s">
        <v>201</v>
      </c>
      <c r="F271" s="80">
        <v>2</v>
      </c>
      <c r="G271" s="23">
        <v>412.06</v>
      </c>
      <c r="H271" s="23">
        <f>ROUND(ROUND(G271 * J11, 2) + G271, 2)</f>
        <v>522.24</v>
      </c>
      <c r="I271" s="23">
        <f t="shared" si="4"/>
        <v>1044.48</v>
      </c>
      <c r="J271" s="39">
        <f>I271 / J10</f>
        <v>5.5527395559249056E-4</v>
      </c>
    </row>
    <row r="272" spans="1:10" ht="51.95" customHeight="1" x14ac:dyDescent="0.2">
      <c r="A272" s="38" t="s">
        <v>675</v>
      </c>
      <c r="B272" s="21" t="s">
        <v>676</v>
      </c>
      <c r="C272" s="21" t="s">
        <v>27</v>
      </c>
      <c r="D272" s="21" t="s">
        <v>677</v>
      </c>
      <c r="E272" s="22" t="s">
        <v>240</v>
      </c>
      <c r="F272" s="80">
        <v>1</v>
      </c>
      <c r="G272" s="23">
        <v>619.84</v>
      </c>
      <c r="H272" s="23">
        <f>ROUND(ROUND(G272 * J11, 2) + G272, 2)</f>
        <v>785.59</v>
      </c>
      <c r="I272" s="23">
        <f t="shared" si="4"/>
        <v>785.59</v>
      </c>
      <c r="J272" s="39">
        <f>I272 / J10</f>
        <v>4.1764099530283461E-4</v>
      </c>
    </row>
    <row r="273" spans="1:10" ht="39" customHeight="1" x14ac:dyDescent="0.2">
      <c r="A273" s="38" t="s">
        <v>678</v>
      </c>
      <c r="B273" s="21" t="s">
        <v>679</v>
      </c>
      <c r="C273" s="21" t="s">
        <v>154</v>
      </c>
      <c r="D273" s="21" t="s">
        <v>680</v>
      </c>
      <c r="E273" s="22" t="s">
        <v>201</v>
      </c>
      <c r="F273" s="80">
        <v>3</v>
      </c>
      <c r="G273" s="23">
        <v>18.309999999999999</v>
      </c>
      <c r="H273" s="23">
        <f>ROUND(ROUND(G273 * J11, 2) + G273, 2)</f>
        <v>23.21</v>
      </c>
      <c r="I273" s="23">
        <f t="shared" si="4"/>
        <v>69.63</v>
      </c>
      <c r="J273" s="39">
        <f>I273 / J10</f>
        <v>3.701720045180867E-5</v>
      </c>
    </row>
    <row r="274" spans="1:10" ht="39" customHeight="1" x14ac:dyDescent="0.2">
      <c r="A274" s="38" t="s">
        <v>681</v>
      </c>
      <c r="B274" s="21" t="s">
        <v>682</v>
      </c>
      <c r="C274" s="21" t="s">
        <v>18</v>
      </c>
      <c r="D274" s="21" t="s">
        <v>683</v>
      </c>
      <c r="E274" s="22" t="s">
        <v>201</v>
      </c>
      <c r="F274" s="80">
        <v>4</v>
      </c>
      <c r="G274" s="23">
        <v>18.41</v>
      </c>
      <c r="H274" s="23">
        <f>ROUND(ROUND(G274 * J11, 2) + G274, 2)</f>
        <v>23.33</v>
      </c>
      <c r="I274" s="23">
        <f t="shared" si="4"/>
        <v>93.32</v>
      </c>
      <c r="J274" s="39">
        <f>I274 / J10</f>
        <v>4.9611448314846831E-5</v>
      </c>
    </row>
    <row r="275" spans="1:10" ht="39" customHeight="1" x14ac:dyDescent="0.2">
      <c r="A275" s="38" t="s">
        <v>684</v>
      </c>
      <c r="B275" s="21" t="s">
        <v>685</v>
      </c>
      <c r="C275" s="21" t="s">
        <v>18</v>
      </c>
      <c r="D275" s="21" t="s">
        <v>686</v>
      </c>
      <c r="E275" s="22" t="s">
        <v>201</v>
      </c>
      <c r="F275" s="80">
        <v>8</v>
      </c>
      <c r="G275" s="23">
        <v>16.52</v>
      </c>
      <c r="H275" s="23">
        <f>ROUND(ROUND(G275 * J11, 2) + G275, 2)</f>
        <v>20.94</v>
      </c>
      <c r="I275" s="23">
        <f t="shared" si="4"/>
        <v>167.52</v>
      </c>
      <c r="J275" s="39">
        <f>I275 / J10</f>
        <v>8.9058184973244133E-5</v>
      </c>
    </row>
    <row r="276" spans="1:10" ht="39" customHeight="1" x14ac:dyDescent="0.2">
      <c r="A276" s="38" t="s">
        <v>687</v>
      </c>
      <c r="B276" s="21" t="s">
        <v>688</v>
      </c>
      <c r="C276" s="21" t="s">
        <v>18</v>
      </c>
      <c r="D276" s="21" t="s">
        <v>689</v>
      </c>
      <c r="E276" s="22" t="s">
        <v>201</v>
      </c>
      <c r="F276" s="80">
        <v>4</v>
      </c>
      <c r="G276" s="23">
        <v>46.64</v>
      </c>
      <c r="H276" s="23">
        <f>ROUND(ROUND(G276 * J11, 2) + G276, 2)</f>
        <v>59.11</v>
      </c>
      <c r="I276" s="23">
        <f t="shared" si="4"/>
        <v>236.44</v>
      </c>
      <c r="J276" s="39">
        <f>I276 / J10</f>
        <v>1.2569793012818674E-4</v>
      </c>
    </row>
    <row r="277" spans="1:10" ht="39" customHeight="1" x14ac:dyDescent="0.2">
      <c r="A277" s="38" t="s">
        <v>690</v>
      </c>
      <c r="B277" s="21" t="s">
        <v>691</v>
      </c>
      <c r="C277" s="21" t="s">
        <v>18</v>
      </c>
      <c r="D277" s="21" t="s">
        <v>692</v>
      </c>
      <c r="E277" s="22" t="s">
        <v>201</v>
      </c>
      <c r="F277" s="80">
        <v>5</v>
      </c>
      <c r="G277" s="23">
        <v>52.59</v>
      </c>
      <c r="H277" s="23">
        <f>ROUND(ROUND(G277 * J11, 2) + G277, 2)</f>
        <v>66.650000000000006</v>
      </c>
      <c r="I277" s="23">
        <f t="shared" si="4"/>
        <v>333.25</v>
      </c>
      <c r="J277" s="39">
        <f>I277 / J10</f>
        <v>1.7716475729664282E-4</v>
      </c>
    </row>
    <row r="278" spans="1:10" ht="39" customHeight="1" x14ac:dyDescent="0.2">
      <c r="A278" s="38" t="s">
        <v>693</v>
      </c>
      <c r="B278" s="21" t="s">
        <v>694</v>
      </c>
      <c r="C278" s="21" t="s">
        <v>18</v>
      </c>
      <c r="D278" s="21" t="s">
        <v>695</v>
      </c>
      <c r="E278" s="22" t="s">
        <v>201</v>
      </c>
      <c r="F278" s="80">
        <v>1</v>
      </c>
      <c r="G278" s="23">
        <v>69.930000000000007</v>
      </c>
      <c r="H278" s="23">
        <f>ROUND(ROUND(G278 * J11, 2) + G278, 2)</f>
        <v>88.63</v>
      </c>
      <c r="I278" s="23">
        <f t="shared" si="4"/>
        <v>88.63</v>
      </c>
      <c r="J278" s="39">
        <f>I278 / J10</f>
        <v>4.7118116846816062E-5</v>
      </c>
    </row>
    <row r="279" spans="1:10" ht="39" customHeight="1" x14ac:dyDescent="0.2">
      <c r="A279" s="38" t="s">
        <v>696</v>
      </c>
      <c r="B279" s="21" t="s">
        <v>697</v>
      </c>
      <c r="C279" s="21" t="s">
        <v>18</v>
      </c>
      <c r="D279" s="21" t="s">
        <v>698</v>
      </c>
      <c r="E279" s="22" t="s">
        <v>201</v>
      </c>
      <c r="F279" s="80">
        <v>1</v>
      </c>
      <c r="G279" s="23">
        <v>64.78</v>
      </c>
      <c r="H279" s="23">
        <f>ROUND(ROUND(G279 * J11, 2) + G279, 2)</f>
        <v>82.1</v>
      </c>
      <c r="I279" s="23">
        <f t="shared" si="4"/>
        <v>82.1</v>
      </c>
      <c r="J279" s="39">
        <f>I279 / J10</f>
        <v>4.3646591370005626E-5</v>
      </c>
    </row>
    <row r="280" spans="1:10" ht="39" customHeight="1" x14ac:dyDescent="0.2">
      <c r="A280" s="38" t="s">
        <v>699</v>
      </c>
      <c r="B280" s="21" t="s">
        <v>700</v>
      </c>
      <c r="C280" s="21" t="s">
        <v>18</v>
      </c>
      <c r="D280" s="21" t="s">
        <v>701</v>
      </c>
      <c r="E280" s="22" t="s">
        <v>201</v>
      </c>
      <c r="F280" s="80">
        <v>2</v>
      </c>
      <c r="G280" s="23">
        <v>84.76</v>
      </c>
      <c r="H280" s="23">
        <f>ROUND(ROUND(G280 * J11, 2) + G280, 2)</f>
        <v>107.42</v>
      </c>
      <c r="I280" s="23">
        <f t="shared" si="4"/>
        <v>214.84</v>
      </c>
      <c r="J280" s="39">
        <f>I280 / J10</f>
        <v>1.1421478306859939E-4</v>
      </c>
    </row>
    <row r="281" spans="1:10" ht="39" customHeight="1" x14ac:dyDescent="0.2">
      <c r="A281" s="38" t="s">
        <v>702</v>
      </c>
      <c r="B281" s="21" t="s">
        <v>703</v>
      </c>
      <c r="C281" s="21" t="s">
        <v>18</v>
      </c>
      <c r="D281" s="21" t="s">
        <v>704</v>
      </c>
      <c r="E281" s="22" t="s">
        <v>201</v>
      </c>
      <c r="F281" s="80">
        <v>2</v>
      </c>
      <c r="G281" s="23">
        <v>189.97</v>
      </c>
      <c r="H281" s="23">
        <f>ROUND(ROUND(G281 * J11, 2) + G281, 2)</f>
        <v>240.77</v>
      </c>
      <c r="I281" s="23">
        <f t="shared" si="4"/>
        <v>481.54</v>
      </c>
      <c r="J281" s="39">
        <f>I281 / J10</f>
        <v>2.5599975162378212E-4</v>
      </c>
    </row>
    <row r="282" spans="1:10" ht="51.95" customHeight="1" x14ac:dyDescent="0.2">
      <c r="A282" s="38" t="s">
        <v>705</v>
      </c>
      <c r="B282" s="21" t="s">
        <v>706</v>
      </c>
      <c r="C282" s="21" t="s">
        <v>18</v>
      </c>
      <c r="D282" s="21" t="s">
        <v>707</v>
      </c>
      <c r="E282" s="22" t="s">
        <v>201</v>
      </c>
      <c r="F282" s="80">
        <v>2</v>
      </c>
      <c r="G282" s="23">
        <v>137.72</v>
      </c>
      <c r="H282" s="23">
        <f>ROUND(ROUND(G282 * J11, 2) + G282, 2)</f>
        <v>174.55</v>
      </c>
      <c r="I282" s="23">
        <f t="shared" si="4"/>
        <v>349.1</v>
      </c>
      <c r="J282" s="39">
        <f>I282 / J10</f>
        <v>1.8559104807879375E-4</v>
      </c>
    </row>
    <row r="283" spans="1:10" ht="51.95" customHeight="1" x14ac:dyDescent="0.2">
      <c r="A283" s="38" t="s">
        <v>708</v>
      </c>
      <c r="B283" s="21" t="s">
        <v>709</v>
      </c>
      <c r="C283" s="21" t="s">
        <v>18</v>
      </c>
      <c r="D283" s="21" t="s">
        <v>710</v>
      </c>
      <c r="E283" s="22" t="s">
        <v>201</v>
      </c>
      <c r="F283" s="80">
        <v>5</v>
      </c>
      <c r="G283" s="23">
        <v>172.18</v>
      </c>
      <c r="H283" s="23">
        <f>ROUND(ROUND(G283 * J11, 2) + G283, 2)</f>
        <v>218.22</v>
      </c>
      <c r="I283" s="23">
        <f t="shared" si="4"/>
        <v>1091.0999999999999</v>
      </c>
      <c r="J283" s="39">
        <f>I283 / J10</f>
        <v>5.8005841466276663E-4</v>
      </c>
    </row>
    <row r="284" spans="1:10" ht="24" customHeight="1" x14ac:dyDescent="0.2">
      <c r="A284" s="74" t="s">
        <v>711</v>
      </c>
      <c r="B284" s="75" t="s">
        <v>13</v>
      </c>
      <c r="C284" s="75"/>
      <c r="D284" s="75" t="s">
        <v>712</v>
      </c>
      <c r="E284" s="76"/>
      <c r="F284" s="77">
        <v>1</v>
      </c>
      <c r="G284" s="77" t="s">
        <v>15</v>
      </c>
      <c r="H284" s="78">
        <f>I285 + I286 + I287 + I288 + I289 + I290 + I291 + I292 + I293</f>
        <v>39576.44000000001</v>
      </c>
      <c r="I284" s="78">
        <f t="shared" si="4"/>
        <v>39576.44</v>
      </c>
      <c r="J284" s="79">
        <f>I284 / J10</f>
        <v>2.1039911139580335E-2</v>
      </c>
    </row>
    <row r="285" spans="1:10" ht="65.099999999999994" customHeight="1" x14ac:dyDescent="0.2">
      <c r="A285" s="38" t="s">
        <v>713</v>
      </c>
      <c r="B285" s="21" t="s">
        <v>714</v>
      </c>
      <c r="C285" s="21" t="s">
        <v>18</v>
      </c>
      <c r="D285" s="21" t="s">
        <v>715</v>
      </c>
      <c r="E285" s="22" t="s">
        <v>201</v>
      </c>
      <c r="F285" s="80">
        <v>7</v>
      </c>
      <c r="G285" s="23">
        <v>1100.27</v>
      </c>
      <c r="H285" s="23">
        <f>ROUND(ROUND(G285 * J11, 2) + G285, 2)</f>
        <v>1394.48</v>
      </c>
      <c r="I285" s="23">
        <f t="shared" si="4"/>
        <v>9761.36</v>
      </c>
      <c r="J285" s="39">
        <f>I285 / J10</f>
        <v>5.1894042769247035E-3</v>
      </c>
    </row>
    <row r="286" spans="1:10" ht="65.099999999999994" customHeight="1" x14ac:dyDescent="0.2">
      <c r="A286" s="38" t="s">
        <v>716</v>
      </c>
      <c r="B286" s="21" t="s">
        <v>717</v>
      </c>
      <c r="C286" s="21" t="s">
        <v>18</v>
      </c>
      <c r="D286" s="21" t="s">
        <v>718</v>
      </c>
      <c r="E286" s="22" t="s">
        <v>201</v>
      </c>
      <c r="F286" s="80">
        <v>1</v>
      </c>
      <c r="G286" s="23">
        <v>1137.8499999999999</v>
      </c>
      <c r="H286" s="23">
        <f>ROUND(ROUND(G286 * J11, 2) + G286, 2)</f>
        <v>1442.11</v>
      </c>
      <c r="I286" s="23">
        <f t="shared" si="4"/>
        <v>1442.11</v>
      </c>
      <c r="J286" s="39">
        <f>I286 / J10</f>
        <v>7.666648706528479E-4</v>
      </c>
    </row>
    <row r="287" spans="1:10" ht="51.95" customHeight="1" x14ac:dyDescent="0.2">
      <c r="A287" s="38" t="s">
        <v>719</v>
      </c>
      <c r="B287" s="21" t="s">
        <v>720</v>
      </c>
      <c r="C287" s="21" t="s">
        <v>721</v>
      </c>
      <c r="D287" s="21" t="s">
        <v>722</v>
      </c>
      <c r="E287" s="22" t="s">
        <v>20</v>
      </c>
      <c r="F287" s="80">
        <v>6.48</v>
      </c>
      <c r="G287" s="23">
        <v>1382.54</v>
      </c>
      <c r="H287" s="23">
        <f>ROUND(ROUND(G287 * J11, 2) + G287, 2)</f>
        <v>1752.23</v>
      </c>
      <c r="I287" s="23">
        <f t="shared" si="4"/>
        <v>11354.45</v>
      </c>
      <c r="J287" s="39">
        <f>I287 / J10</f>
        <v>6.0363342190153527E-3</v>
      </c>
    </row>
    <row r="288" spans="1:10" ht="51.95" customHeight="1" x14ac:dyDescent="0.2">
      <c r="A288" s="38" t="s">
        <v>723</v>
      </c>
      <c r="B288" s="21" t="s">
        <v>724</v>
      </c>
      <c r="C288" s="21" t="s">
        <v>721</v>
      </c>
      <c r="D288" s="21" t="s">
        <v>725</v>
      </c>
      <c r="E288" s="22" t="s">
        <v>20</v>
      </c>
      <c r="F288" s="80">
        <v>2.4</v>
      </c>
      <c r="G288" s="23">
        <v>937.46</v>
      </c>
      <c r="H288" s="23">
        <f>ROUND(ROUND(G288 * J11, 2) + G288, 2)</f>
        <v>1188.1400000000001</v>
      </c>
      <c r="I288" s="23">
        <f t="shared" si="4"/>
        <v>2851.54</v>
      </c>
      <c r="J288" s="39">
        <f>I288 / J10</f>
        <v>1.5159561651062832E-3</v>
      </c>
    </row>
    <row r="289" spans="1:10" ht="26.1" customHeight="1" x14ac:dyDescent="0.2">
      <c r="A289" s="38" t="s">
        <v>726</v>
      </c>
      <c r="B289" s="21" t="s">
        <v>727</v>
      </c>
      <c r="C289" s="21" t="s">
        <v>27</v>
      </c>
      <c r="D289" s="21" t="s">
        <v>728</v>
      </c>
      <c r="E289" s="22" t="s">
        <v>20</v>
      </c>
      <c r="F289" s="80">
        <v>7.99</v>
      </c>
      <c r="G289" s="23">
        <v>276</v>
      </c>
      <c r="H289" s="23">
        <f>ROUND(ROUND(G289 * J11, 2) + G289, 2)</f>
        <v>349.8</v>
      </c>
      <c r="I289" s="23">
        <f t="shared" si="4"/>
        <v>2794.9</v>
      </c>
      <c r="J289" s="39">
        <f>I289 / J10</f>
        <v>1.4858448017055874E-3</v>
      </c>
    </row>
    <row r="290" spans="1:10" ht="39" customHeight="1" x14ac:dyDescent="0.2">
      <c r="A290" s="38" t="s">
        <v>729</v>
      </c>
      <c r="B290" s="21" t="s">
        <v>730</v>
      </c>
      <c r="C290" s="21" t="s">
        <v>27</v>
      </c>
      <c r="D290" s="21" t="s">
        <v>731</v>
      </c>
      <c r="E290" s="22" t="s">
        <v>20</v>
      </c>
      <c r="F290" s="80">
        <v>11.2</v>
      </c>
      <c r="G290" s="23">
        <v>677.6</v>
      </c>
      <c r="H290" s="23">
        <f>ROUND(ROUND(G290 * J11, 2) + G290, 2)</f>
        <v>858.79</v>
      </c>
      <c r="I290" s="23">
        <f t="shared" si="4"/>
        <v>9618.4500000000007</v>
      </c>
      <c r="J290" s="39">
        <f>I290 / J10</f>
        <v>5.1134294368188875E-3</v>
      </c>
    </row>
    <row r="291" spans="1:10" ht="39" customHeight="1" x14ac:dyDescent="0.2">
      <c r="A291" s="38" t="s">
        <v>732</v>
      </c>
      <c r="B291" s="21" t="s">
        <v>733</v>
      </c>
      <c r="C291" s="21" t="s">
        <v>18</v>
      </c>
      <c r="D291" s="21" t="s">
        <v>734</v>
      </c>
      <c r="E291" s="22" t="s">
        <v>201</v>
      </c>
      <c r="F291" s="80">
        <v>10</v>
      </c>
      <c r="G291" s="23">
        <v>50.09</v>
      </c>
      <c r="H291" s="23">
        <f>ROUND(ROUND(G291 * J11, 2) + G291, 2)</f>
        <v>63.48</v>
      </c>
      <c r="I291" s="23">
        <f t="shared" si="4"/>
        <v>634.79999999999995</v>
      </c>
      <c r="J291" s="39">
        <f>I291 / J10</f>
        <v>3.3747693302898379E-4</v>
      </c>
    </row>
    <row r="292" spans="1:10" ht="39" customHeight="1" x14ac:dyDescent="0.2">
      <c r="A292" s="38" t="s">
        <v>735</v>
      </c>
      <c r="B292" s="21" t="s">
        <v>736</v>
      </c>
      <c r="C292" s="21" t="s">
        <v>737</v>
      </c>
      <c r="D292" s="21" t="s">
        <v>738</v>
      </c>
      <c r="E292" s="22" t="s">
        <v>20</v>
      </c>
      <c r="F292" s="80">
        <v>2.4</v>
      </c>
      <c r="G292" s="23">
        <v>225.8</v>
      </c>
      <c r="H292" s="23">
        <f>ROUND(ROUND(G292 * J11, 2) + G292, 2)</f>
        <v>286.18</v>
      </c>
      <c r="I292" s="23">
        <f t="shared" si="4"/>
        <v>686.83</v>
      </c>
      <c r="J292" s="39">
        <f>I292 / J10</f>
        <v>3.6513749513594355E-4</v>
      </c>
    </row>
    <row r="293" spans="1:10" ht="51.95" customHeight="1" x14ac:dyDescent="0.2">
      <c r="A293" s="38" t="s">
        <v>739</v>
      </c>
      <c r="B293" s="21" t="s">
        <v>740</v>
      </c>
      <c r="C293" s="21" t="s">
        <v>18</v>
      </c>
      <c r="D293" s="21" t="s">
        <v>741</v>
      </c>
      <c r="E293" s="22" t="s">
        <v>20</v>
      </c>
      <c r="F293" s="80">
        <v>1.32</v>
      </c>
      <c r="G293" s="23">
        <v>258.22000000000003</v>
      </c>
      <c r="H293" s="23">
        <f>ROUND(ROUND(G293 * J11, 2) + G293, 2)</f>
        <v>327.27</v>
      </c>
      <c r="I293" s="23">
        <f t="shared" si="4"/>
        <v>432</v>
      </c>
      <c r="J293" s="39">
        <f>I293 / J10</f>
        <v>2.2966294119174704E-4</v>
      </c>
    </row>
    <row r="294" spans="1:10" ht="24" customHeight="1" x14ac:dyDescent="0.2">
      <c r="A294" s="74" t="s">
        <v>742</v>
      </c>
      <c r="B294" s="75" t="s">
        <v>13</v>
      </c>
      <c r="C294" s="75"/>
      <c r="D294" s="75" t="s">
        <v>743</v>
      </c>
      <c r="E294" s="76"/>
      <c r="F294" s="77">
        <v>1</v>
      </c>
      <c r="G294" s="77" t="s">
        <v>15</v>
      </c>
      <c r="H294" s="78">
        <f>I295 + I296 + I297 + I298 + I299 + I300</f>
        <v>55737.85</v>
      </c>
      <c r="I294" s="78">
        <f t="shared" si="4"/>
        <v>55737.85</v>
      </c>
      <c r="J294" s="79">
        <f>I294 / J10</f>
        <v>2.963175594144541E-2</v>
      </c>
    </row>
    <row r="295" spans="1:10" ht="51.95" customHeight="1" x14ac:dyDescent="0.2">
      <c r="A295" s="38" t="s">
        <v>744</v>
      </c>
      <c r="B295" s="21" t="s">
        <v>745</v>
      </c>
      <c r="C295" s="21" t="s">
        <v>27</v>
      </c>
      <c r="D295" s="21" t="s">
        <v>746</v>
      </c>
      <c r="E295" s="22" t="s">
        <v>20</v>
      </c>
      <c r="F295" s="81">
        <v>876.9</v>
      </c>
      <c r="G295" s="23">
        <v>5.05</v>
      </c>
      <c r="H295" s="23">
        <f>ROUND(ROUND(G295 * J11, 2) + G295, 2)</f>
        <v>6.4</v>
      </c>
      <c r="I295" s="23">
        <f t="shared" si="4"/>
        <v>5612.16</v>
      </c>
      <c r="J295" s="39">
        <f>I295 / J10</f>
        <v>2.9835767871265627E-3</v>
      </c>
    </row>
    <row r="296" spans="1:10" ht="51.95" customHeight="1" x14ac:dyDescent="0.2">
      <c r="A296" s="38" t="s">
        <v>747</v>
      </c>
      <c r="B296" s="21" t="s">
        <v>748</v>
      </c>
      <c r="C296" s="21" t="s">
        <v>27</v>
      </c>
      <c r="D296" s="21" t="s">
        <v>749</v>
      </c>
      <c r="E296" s="22" t="s">
        <v>20</v>
      </c>
      <c r="F296" s="81">
        <v>719.61</v>
      </c>
      <c r="G296" s="23">
        <v>26.74</v>
      </c>
      <c r="H296" s="23">
        <f>ROUND(ROUND(G296 * J11, 2) + G296, 2)</f>
        <v>33.89</v>
      </c>
      <c r="I296" s="23">
        <f t="shared" si="4"/>
        <v>24387.58</v>
      </c>
      <c r="J296" s="39">
        <f>I296 / J10</f>
        <v>1.2965100350344969E-2</v>
      </c>
    </row>
    <row r="297" spans="1:10" ht="51.95" customHeight="1" x14ac:dyDescent="0.2">
      <c r="A297" s="38" t="s">
        <v>750</v>
      </c>
      <c r="B297" s="21" t="s">
        <v>751</v>
      </c>
      <c r="C297" s="21" t="s">
        <v>27</v>
      </c>
      <c r="D297" s="21" t="s">
        <v>752</v>
      </c>
      <c r="E297" s="22" t="s">
        <v>20</v>
      </c>
      <c r="F297" s="81">
        <v>168.09</v>
      </c>
      <c r="G297" s="23">
        <v>28.36</v>
      </c>
      <c r="H297" s="23">
        <f>ROUND(ROUND(G297 * J11, 2) + G297, 2)</f>
        <v>35.94</v>
      </c>
      <c r="I297" s="23">
        <f t="shared" si="4"/>
        <v>6041.15</v>
      </c>
      <c r="J297" s="39">
        <f>I297 / J10</f>
        <v>3.2116395305104685E-3</v>
      </c>
    </row>
    <row r="298" spans="1:10" ht="39" customHeight="1" x14ac:dyDescent="0.2">
      <c r="A298" s="38" t="s">
        <v>753</v>
      </c>
      <c r="B298" s="21" t="s">
        <v>754</v>
      </c>
      <c r="C298" s="21" t="s">
        <v>27</v>
      </c>
      <c r="D298" s="21" t="s">
        <v>755</v>
      </c>
      <c r="E298" s="22" t="s">
        <v>20</v>
      </c>
      <c r="F298" s="81">
        <v>168.09</v>
      </c>
      <c r="G298" s="23">
        <v>67.989999999999995</v>
      </c>
      <c r="H298" s="23">
        <f>ROUND(ROUND(G298 * J11, 2) + G298, 2)</f>
        <v>86.17</v>
      </c>
      <c r="I298" s="23">
        <f t="shared" si="4"/>
        <v>14484.32</v>
      </c>
      <c r="J298" s="39">
        <f>I298 / J10</f>
        <v>7.7002581767649193E-3</v>
      </c>
    </row>
    <row r="299" spans="1:10" ht="65.099999999999994" customHeight="1" x14ac:dyDescent="0.2">
      <c r="A299" s="38" t="s">
        <v>756</v>
      </c>
      <c r="B299" s="21" t="s">
        <v>757</v>
      </c>
      <c r="C299" s="21" t="s">
        <v>18</v>
      </c>
      <c r="D299" s="21" t="s">
        <v>758</v>
      </c>
      <c r="E299" s="22" t="s">
        <v>20</v>
      </c>
      <c r="F299" s="81">
        <v>14.07</v>
      </c>
      <c r="G299" s="23">
        <v>105.18</v>
      </c>
      <c r="H299" s="23">
        <f>ROUND(ROUND(G299 * J11, 2) + G299, 2)</f>
        <v>133.31</v>
      </c>
      <c r="I299" s="23">
        <f t="shared" si="4"/>
        <v>1875.67</v>
      </c>
      <c r="J299" s="39">
        <f>I299 / J10</f>
        <v>9.9715715024334298E-4</v>
      </c>
    </row>
    <row r="300" spans="1:10" ht="26.1" customHeight="1" x14ac:dyDescent="0.2">
      <c r="A300" s="38" t="s">
        <v>759</v>
      </c>
      <c r="B300" s="21" t="s">
        <v>760</v>
      </c>
      <c r="C300" s="21" t="s">
        <v>18</v>
      </c>
      <c r="D300" s="21" t="s">
        <v>761</v>
      </c>
      <c r="E300" s="22" t="s">
        <v>20</v>
      </c>
      <c r="F300" s="81">
        <v>95.89</v>
      </c>
      <c r="G300" s="23">
        <v>27.46</v>
      </c>
      <c r="H300" s="23">
        <f>ROUND(ROUND(G300 * J11, 2) + G300, 2)</f>
        <v>34.799999999999997</v>
      </c>
      <c r="I300" s="23">
        <f t="shared" si="4"/>
        <v>3336.97</v>
      </c>
      <c r="J300" s="39">
        <f>I300 / J10</f>
        <v>1.7740239464551482E-3</v>
      </c>
    </row>
    <row r="301" spans="1:10" ht="24" customHeight="1" x14ac:dyDescent="0.2">
      <c r="A301" s="74" t="s">
        <v>762</v>
      </c>
      <c r="B301" s="75" t="s">
        <v>13</v>
      </c>
      <c r="C301" s="75"/>
      <c r="D301" s="75" t="s">
        <v>763</v>
      </c>
      <c r="E301" s="76"/>
      <c r="F301" s="77">
        <v>1</v>
      </c>
      <c r="G301" s="77" t="s">
        <v>15</v>
      </c>
      <c r="H301" s="78">
        <f>I302 + I303 + I304 + I305 + I306 + I307</f>
        <v>100084.33</v>
      </c>
      <c r="I301" s="78">
        <f t="shared" si="4"/>
        <v>100084.33</v>
      </c>
      <c r="J301" s="79">
        <f>I301 / J10</f>
        <v>5.3207549988438435E-2</v>
      </c>
    </row>
    <row r="302" spans="1:10" ht="39" customHeight="1" x14ac:dyDescent="0.2">
      <c r="A302" s="38" t="s">
        <v>764</v>
      </c>
      <c r="B302" s="21" t="s">
        <v>765</v>
      </c>
      <c r="C302" s="21" t="s">
        <v>18</v>
      </c>
      <c r="D302" s="21" t="s">
        <v>766</v>
      </c>
      <c r="E302" s="22" t="s">
        <v>20</v>
      </c>
      <c r="F302" s="80">
        <v>246</v>
      </c>
      <c r="G302" s="23">
        <v>40.700000000000003</v>
      </c>
      <c r="H302" s="23">
        <f>ROUND(ROUND(G302 * J11, 2) + G302, 2)</f>
        <v>51.58</v>
      </c>
      <c r="I302" s="23">
        <f t="shared" si="4"/>
        <v>12688.68</v>
      </c>
      <c r="J302" s="39">
        <f>I302 / J10</f>
        <v>6.745647149631705E-3</v>
      </c>
    </row>
    <row r="303" spans="1:10" ht="39" customHeight="1" x14ac:dyDescent="0.2">
      <c r="A303" s="38" t="s">
        <v>767</v>
      </c>
      <c r="B303" s="21" t="s">
        <v>768</v>
      </c>
      <c r="C303" s="21" t="s">
        <v>18</v>
      </c>
      <c r="D303" s="21" t="s">
        <v>769</v>
      </c>
      <c r="E303" s="22" t="s">
        <v>20</v>
      </c>
      <c r="F303" s="80">
        <v>246</v>
      </c>
      <c r="G303" s="23">
        <v>37.57</v>
      </c>
      <c r="H303" s="23">
        <f>ROUND(ROUND(G303 * J11, 2) + G303, 2)</f>
        <v>47.62</v>
      </c>
      <c r="I303" s="23">
        <f t="shared" si="4"/>
        <v>11714.52</v>
      </c>
      <c r="J303" s="39">
        <f>I303 / J10</f>
        <v>6.2277572172443159E-3</v>
      </c>
    </row>
    <row r="304" spans="1:10" ht="65.099999999999994" customHeight="1" x14ac:dyDescent="0.2">
      <c r="A304" s="38" t="s">
        <v>770</v>
      </c>
      <c r="B304" s="21" t="s">
        <v>771</v>
      </c>
      <c r="C304" s="21" t="s">
        <v>18</v>
      </c>
      <c r="D304" s="21" t="s">
        <v>772</v>
      </c>
      <c r="E304" s="22" t="s">
        <v>20</v>
      </c>
      <c r="F304" s="80">
        <v>246</v>
      </c>
      <c r="G304" s="23">
        <v>93.21</v>
      </c>
      <c r="H304" s="23">
        <f>ROUND(ROUND(G304 * J11, 2) + G304, 2)</f>
        <v>118.13</v>
      </c>
      <c r="I304" s="23">
        <f t="shared" si="4"/>
        <v>29059.98</v>
      </c>
      <c r="J304" s="39">
        <f>I304 / J10</f>
        <v>1.5449075180030891E-2</v>
      </c>
    </row>
    <row r="305" spans="1:10" ht="39" customHeight="1" x14ac:dyDescent="0.2">
      <c r="A305" s="38" t="s">
        <v>773</v>
      </c>
      <c r="B305" s="21" t="s">
        <v>774</v>
      </c>
      <c r="C305" s="21" t="s">
        <v>18</v>
      </c>
      <c r="D305" s="21" t="s">
        <v>775</v>
      </c>
      <c r="E305" s="22" t="s">
        <v>47</v>
      </c>
      <c r="F305" s="80">
        <v>115.55</v>
      </c>
      <c r="G305" s="23">
        <v>13.18</v>
      </c>
      <c r="H305" s="23">
        <f>ROUND(ROUND(G305 * J11, 2) + G305, 2)</f>
        <v>16.7</v>
      </c>
      <c r="I305" s="23">
        <f t="shared" si="4"/>
        <v>1929.69</v>
      </c>
      <c r="J305" s="39">
        <f>I305 / J10</f>
        <v>1.0258756504358849E-3</v>
      </c>
    </row>
    <row r="306" spans="1:10" ht="39" customHeight="1" x14ac:dyDescent="0.2">
      <c r="A306" s="38" t="s">
        <v>776</v>
      </c>
      <c r="B306" s="21" t="s">
        <v>777</v>
      </c>
      <c r="C306" s="21" t="s">
        <v>27</v>
      </c>
      <c r="D306" s="21" t="s">
        <v>778</v>
      </c>
      <c r="E306" s="22" t="s">
        <v>20</v>
      </c>
      <c r="F306" s="80">
        <v>392.63</v>
      </c>
      <c r="G306" s="23">
        <v>83.3</v>
      </c>
      <c r="H306" s="23">
        <f>ROUND(ROUND(G306 * J11, 2) + G306, 2)</f>
        <v>105.57</v>
      </c>
      <c r="I306" s="23">
        <f t="shared" si="4"/>
        <v>41449.949999999997</v>
      </c>
      <c r="J306" s="39">
        <f>I306 / J10</f>
        <v>2.2035919975117717E-2</v>
      </c>
    </row>
    <row r="307" spans="1:10" ht="39" customHeight="1" x14ac:dyDescent="0.2">
      <c r="A307" s="38" t="s">
        <v>779</v>
      </c>
      <c r="B307" s="21" t="s">
        <v>780</v>
      </c>
      <c r="C307" s="21" t="s">
        <v>154</v>
      </c>
      <c r="D307" s="21" t="s">
        <v>781</v>
      </c>
      <c r="E307" s="22" t="s">
        <v>47</v>
      </c>
      <c r="F307" s="80">
        <v>62.82</v>
      </c>
      <c r="G307" s="23">
        <v>40.71</v>
      </c>
      <c r="H307" s="23">
        <f>ROUND(ROUND(G307 * J11, 2) + G307, 2)</f>
        <v>51.6</v>
      </c>
      <c r="I307" s="23">
        <f t="shared" si="4"/>
        <v>3241.51</v>
      </c>
      <c r="J307" s="39">
        <f>I307 / J10</f>
        <v>1.7232748159779166E-3</v>
      </c>
    </row>
    <row r="308" spans="1:10" ht="24" customHeight="1" x14ac:dyDescent="0.2">
      <c r="A308" s="74" t="s">
        <v>782</v>
      </c>
      <c r="B308" s="75" t="s">
        <v>13</v>
      </c>
      <c r="C308" s="75"/>
      <c r="D308" s="75" t="s">
        <v>783</v>
      </c>
      <c r="E308" s="76"/>
      <c r="F308" s="77">
        <v>1</v>
      </c>
      <c r="G308" s="77" t="s">
        <v>15</v>
      </c>
      <c r="H308" s="78">
        <f>I309 + I310 + I311 + I312 + I313 + I314 + I315 + I316 + I317 + I318 + I319 + I320 + I321 + I322 + I323 + I324 + I325 + I326 + I327 + I328 + I329 + I330 + I331 + I332 + I333 + I334</f>
        <v>90791.919999999984</v>
      </c>
      <c r="I308" s="78">
        <f t="shared" si="4"/>
        <v>90791.92</v>
      </c>
      <c r="J308" s="79">
        <f>I308 / J10</f>
        <v>4.8267452276957869E-2</v>
      </c>
    </row>
    <row r="309" spans="1:10" ht="26.1" customHeight="1" x14ac:dyDescent="0.2">
      <c r="A309" s="38" t="s">
        <v>784</v>
      </c>
      <c r="B309" s="21" t="s">
        <v>785</v>
      </c>
      <c r="C309" s="21" t="s">
        <v>154</v>
      </c>
      <c r="D309" s="21" t="s">
        <v>786</v>
      </c>
      <c r="E309" s="22" t="s">
        <v>20</v>
      </c>
      <c r="F309" s="80">
        <v>30.08</v>
      </c>
      <c r="G309" s="23">
        <v>919.56</v>
      </c>
      <c r="H309" s="23">
        <f>ROUND(ROUND(G309 * J11, 2) + G309, 2)</f>
        <v>1165.45</v>
      </c>
      <c r="I309" s="23">
        <f t="shared" si="4"/>
        <v>35056.74</v>
      </c>
      <c r="J309" s="39">
        <f>I309 / J10</f>
        <v>1.8637115780079549E-2</v>
      </c>
    </row>
    <row r="310" spans="1:10" ht="24" customHeight="1" x14ac:dyDescent="0.2">
      <c r="A310" s="38" t="s">
        <v>787</v>
      </c>
      <c r="B310" s="21" t="s">
        <v>788</v>
      </c>
      <c r="C310" s="21" t="s">
        <v>154</v>
      </c>
      <c r="D310" s="21" t="s">
        <v>789</v>
      </c>
      <c r="E310" s="22" t="s">
        <v>20</v>
      </c>
      <c r="F310" s="80">
        <v>20.36</v>
      </c>
      <c r="G310" s="23">
        <v>667.36</v>
      </c>
      <c r="H310" s="23">
        <f>ROUND(ROUND(G310 * J11, 2) + G310, 2)</f>
        <v>845.81</v>
      </c>
      <c r="I310" s="23">
        <f t="shared" si="4"/>
        <v>17220.689999999999</v>
      </c>
      <c r="J310" s="39">
        <f>I310 / J10</f>
        <v>9.1549868397020964E-3</v>
      </c>
    </row>
    <row r="311" spans="1:10" ht="51.95" customHeight="1" x14ac:dyDescent="0.2">
      <c r="A311" s="38" t="s">
        <v>790</v>
      </c>
      <c r="B311" s="21" t="s">
        <v>791</v>
      </c>
      <c r="C311" s="21" t="s">
        <v>18</v>
      </c>
      <c r="D311" s="21" t="s">
        <v>792</v>
      </c>
      <c r="E311" s="22" t="s">
        <v>201</v>
      </c>
      <c r="F311" s="80">
        <v>8</v>
      </c>
      <c r="G311" s="23">
        <v>409.64</v>
      </c>
      <c r="H311" s="23">
        <f>ROUND(ROUND(G311 * J11, 2) + G311, 2)</f>
        <v>519.17999999999995</v>
      </c>
      <c r="I311" s="23">
        <f t="shared" si="4"/>
        <v>4153.4399999999996</v>
      </c>
      <c r="J311" s="39">
        <f>I311 / J10</f>
        <v>2.2080815890357631E-3</v>
      </c>
    </row>
    <row r="312" spans="1:10" ht="39" customHeight="1" x14ac:dyDescent="0.2">
      <c r="A312" s="38" t="s">
        <v>793</v>
      </c>
      <c r="B312" s="21" t="s">
        <v>794</v>
      </c>
      <c r="C312" s="21" t="s">
        <v>18</v>
      </c>
      <c r="D312" s="21" t="s">
        <v>795</v>
      </c>
      <c r="E312" s="22" t="s">
        <v>201</v>
      </c>
      <c r="F312" s="80">
        <v>9</v>
      </c>
      <c r="G312" s="23">
        <v>280.01</v>
      </c>
      <c r="H312" s="23">
        <f>ROUND(ROUND(G312 * J11, 2) + G312, 2)</f>
        <v>354.88</v>
      </c>
      <c r="I312" s="23">
        <f t="shared" si="4"/>
        <v>3193.92</v>
      </c>
      <c r="J312" s="39">
        <f>I312 / J10</f>
        <v>1.6979746785443163E-3</v>
      </c>
    </row>
    <row r="313" spans="1:10" ht="26.1" customHeight="1" x14ac:dyDescent="0.2">
      <c r="A313" s="38" t="s">
        <v>796</v>
      </c>
      <c r="B313" s="21" t="s">
        <v>797</v>
      </c>
      <c r="C313" s="21" t="s">
        <v>18</v>
      </c>
      <c r="D313" s="21" t="s">
        <v>798</v>
      </c>
      <c r="E313" s="22" t="s">
        <v>201</v>
      </c>
      <c r="F313" s="80">
        <v>5</v>
      </c>
      <c r="G313" s="23">
        <v>286.01</v>
      </c>
      <c r="H313" s="23">
        <f>ROUND(ROUND(G313 * J11, 2) + G313, 2)</f>
        <v>362.49</v>
      </c>
      <c r="I313" s="23">
        <f t="shared" si="4"/>
        <v>1812.45</v>
      </c>
      <c r="J313" s="39">
        <f>I313 / J10</f>
        <v>9.635476800069026E-4</v>
      </c>
    </row>
    <row r="314" spans="1:10" ht="65.099999999999994" customHeight="1" x14ac:dyDescent="0.2">
      <c r="A314" s="38" t="s">
        <v>799</v>
      </c>
      <c r="B314" s="21" t="s">
        <v>800</v>
      </c>
      <c r="C314" s="21" t="s">
        <v>18</v>
      </c>
      <c r="D314" s="21" t="s">
        <v>801</v>
      </c>
      <c r="E314" s="22" t="s">
        <v>201</v>
      </c>
      <c r="F314" s="80">
        <v>6</v>
      </c>
      <c r="G314" s="23">
        <v>1051.57</v>
      </c>
      <c r="H314" s="23">
        <f>ROUND(ROUND(G314 * J11, 2) + G314, 2)</f>
        <v>1332.76</v>
      </c>
      <c r="I314" s="23">
        <f t="shared" si="4"/>
        <v>7996.56</v>
      </c>
      <c r="J314" s="39">
        <f>I314 / J10</f>
        <v>4.2511886319821224E-3</v>
      </c>
    </row>
    <row r="315" spans="1:10" ht="78" customHeight="1" x14ac:dyDescent="0.2">
      <c r="A315" s="38" t="s">
        <v>802</v>
      </c>
      <c r="B315" s="21" t="s">
        <v>803</v>
      </c>
      <c r="C315" s="21" t="s">
        <v>18</v>
      </c>
      <c r="D315" s="21" t="s">
        <v>804</v>
      </c>
      <c r="E315" s="22" t="s">
        <v>201</v>
      </c>
      <c r="F315" s="80">
        <v>1</v>
      </c>
      <c r="G315" s="23">
        <v>1073.04</v>
      </c>
      <c r="H315" s="23">
        <f>ROUND(ROUND(G315 * J11, 2) + G315, 2)</f>
        <v>1359.97</v>
      </c>
      <c r="I315" s="23">
        <f t="shared" si="4"/>
        <v>1359.97</v>
      </c>
      <c r="J315" s="39">
        <f>I315 / J10</f>
        <v>7.2299701419569493E-4</v>
      </c>
    </row>
    <row r="316" spans="1:10" ht="39" customHeight="1" x14ac:dyDescent="0.2">
      <c r="A316" s="38" t="s">
        <v>805</v>
      </c>
      <c r="B316" s="21" t="s">
        <v>806</v>
      </c>
      <c r="C316" s="21" t="s">
        <v>18</v>
      </c>
      <c r="D316" s="21" t="s">
        <v>807</v>
      </c>
      <c r="E316" s="22" t="s">
        <v>201</v>
      </c>
      <c r="F316" s="80">
        <v>7</v>
      </c>
      <c r="G316" s="23">
        <v>44.58</v>
      </c>
      <c r="H316" s="23">
        <f>ROUND(ROUND(G316 * J11, 2) + G316, 2)</f>
        <v>56.5</v>
      </c>
      <c r="I316" s="23">
        <f t="shared" si="4"/>
        <v>395.5</v>
      </c>
      <c r="J316" s="39">
        <f>I316 / J10</f>
        <v>2.1025854916975915E-4</v>
      </c>
    </row>
    <row r="317" spans="1:10" ht="26.1" customHeight="1" x14ac:dyDescent="0.2">
      <c r="A317" s="38" t="s">
        <v>808</v>
      </c>
      <c r="B317" s="21" t="s">
        <v>809</v>
      </c>
      <c r="C317" s="21" t="s">
        <v>18</v>
      </c>
      <c r="D317" s="21" t="s">
        <v>810</v>
      </c>
      <c r="E317" s="22" t="s">
        <v>201</v>
      </c>
      <c r="F317" s="80">
        <v>5</v>
      </c>
      <c r="G317" s="23">
        <v>88.66</v>
      </c>
      <c r="H317" s="23">
        <f>ROUND(ROUND(G317 * J11, 2) + G317, 2)</f>
        <v>112.37</v>
      </c>
      <c r="I317" s="23">
        <f t="shared" si="4"/>
        <v>561.85</v>
      </c>
      <c r="J317" s="39">
        <f>I317 / J10</f>
        <v>2.9869473034394229E-4</v>
      </c>
    </row>
    <row r="318" spans="1:10" ht="39" customHeight="1" x14ac:dyDescent="0.2">
      <c r="A318" s="38" t="s">
        <v>811</v>
      </c>
      <c r="B318" s="21" t="s">
        <v>812</v>
      </c>
      <c r="C318" s="21" t="s">
        <v>18</v>
      </c>
      <c r="D318" s="21" t="s">
        <v>813</v>
      </c>
      <c r="E318" s="22" t="s">
        <v>201</v>
      </c>
      <c r="F318" s="80">
        <v>7</v>
      </c>
      <c r="G318" s="23">
        <v>70.66</v>
      </c>
      <c r="H318" s="23">
        <f>ROUND(ROUND(G318 * J11, 2) + G318, 2)</f>
        <v>89.55</v>
      </c>
      <c r="I318" s="23">
        <f t="shared" si="4"/>
        <v>626.85</v>
      </c>
      <c r="J318" s="39">
        <f>I318 / J10</f>
        <v>3.332504969584413E-4</v>
      </c>
    </row>
    <row r="319" spans="1:10" ht="39" customHeight="1" x14ac:dyDescent="0.2">
      <c r="A319" s="38" t="s">
        <v>814</v>
      </c>
      <c r="B319" s="21" t="s">
        <v>815</v>
      </c>
      <c r="C319" s="21" t="s">
        <v>18</v>
      </c>
      <c r="D319" s="21" t="s">
        <v>816</v>
      </c>
      <c r="E319" s="22" t="s">
        <v>201</v>
      </c>
      <c r="F319" s="80">
        <v>5</v>
      </c>
      <c r="G319" s="23">
        <v>74.67</v>
      </c>
      <c r="H319" s="23">
        <f>ROUND(ROUND(G319 * J11, 2) + G319, 2)</f>
        <v>94.64</v>
      </c>
      <c r="I319" s="23">
        <f t="shared" si="4"/>
        <v>473.2</v>
      </c>
      <c r="J319" s="39">
        <f>I319 / J10</f>
        <v>2.5156598095355253E-4</v>
      </c>
    </row>
    <row r="320" spans="1:10" ht="39" customHeight="1" x14ac:dyDescent="0.2">
      <c r="A320" s="38" t="s">
        <v>817</v>
      </c>
      <c r="B320" s="21" t="s">
        <v>818</v>
      </c>
      <c r="C320" s="21" t="s">
        <v>18</v>
      </c>
      <c r="D320" s="21" t="s">
        <v>819</v>
      </c>
      <c r="E320" s="22" t="s">
        <v>201</v>
      </c>
      <c r="F320" s="80">
        <v>7</v>
      </c>
      <c r="G320" s="23">
        <v>63.63</v>
      </c>
      <c r="H320" s="23">
        <f>ROUND(ROUND(G320 * J11, 2) + G320, 2)</f>
        <v>80.64</v>
      </c>
      <c r="I320" s="23">
        <f t="shared" si="4"/>
        <v>564.48</v>
      </c>
      <c r="J320" s="39">
        <f>I320 / J10</f>
        <v>3.000929098238828E-4</v>
      </c>
    </row>
    <row r="321" spans="1:10" ht="65.099999999999994" customHeight="1" x14ac:dyDescent="0.2">
      <c r="A321" s="38" t="s">
        <v>820</v>
      </c>
      <c r="B321" s="21" t="s">
        <v>821</v>
      </c>
      <c r="C321" s="21" t="s">
        <v>18</v>
      </c>
      <c r="D321" s="21" t="s">
        <v>822</v>
      </c>
      <c r="E321" s="22" t="s">
        <v>201</v>
      </c>
      <c r="F321" s="80">
        <v>1</v>
      </c>
      <c r="G321" s="23">
        <v>458.94</v>
      </c>
      <c r="H321" s="23">
        <f>ROUND(ROUND(G321 * J11, 2) + G321, 2)</f>
        <v>581.66</v>
      </c>
      <c r="I321" s="23">
        <f t="shared" si="4"/>
        <v>581.66</v>
      </c>
      <c r="J321" s="39">
        <f>I321 / J10</f>
        <v>3.0922626475368421E-4</v>
      </c>
    </row>
    <row r="322" spans="1:10" ht="51.95" customHeight="1" x14ac:dyDescent="0.2">
      <c r="A322" s="38" t="s">
        <v>823</v>
      </c>
      <c r="B322" s="21" t="s">
        <v>824</v>
      </c>
      <c r="C322" s="21" t="s">
        <v>18</v>
      </c>
      <c r="D322" s="21" t="s">
        <v>825</v>
      </c>
      <c r="E322" s="22" t="s">
        <v>201</v>
      </c>
      <c r="F322" s="80">
        <v>1</v>
      </c>
      <c r="G322" s="23">
        <v>580.48</v>
      </c>
      <c r="H322" s="23">
        <f>ROUND(ROUND(G322 * J11, 2) + G322, 2)</f>
        <v>735.7</v>
      </c>
      <c r="I322" s="23">
        <f t="shared" si="4"/>
        <v>735.7</v>
      </c>
      <c r="J322" s="39">
        <f>I322 / J10</f>
        <v>3.9111811535825998E-4</v>
      </c>
    </row>
    <row r="323" spans="1:10" ht="51.95" customHeight="1" x14ac:dyDescent="0.2">
      <c r="A323" s="38" t="s">
        <v>826</v>
      </c>
      <c r="B323" s="21" t="s">
        <v>827</v>
      </c>
      <c r="C323" s="21" t="s">
        <v>18</v>
      </c>
      <c r="D323" s="21" t="s">
        <v>828</v>
      </c>
      <c r="E323" s="22" t="s">
        <v>201</v>
      </c>
      <c r="F323" s="80">
        <v>1</v>
      </c>
      <c r="G323" s="23">
        <v>141.33000000000001</v>
      </c>
      <c r="H323" s="23">
        <f>ROUND(ROUND(G323 * J11, 2) + G323, 2)</f>
        <v>179.12</v>
      </c>
      <c r="I323" s="23">
        <f t="shared" si="4"/>
        <v>179.12</v>
      </c>
      <c r="J323" s="39">
        <f>I323 / J10</f>
        <v>9.5225060245985484E-5</v>
      </c>
    </row>
    <row r="324" spans="1:10" ht="39" customHeight="1" x14ac:dyDescent="0.2">
      <c r="A324" s="38" t="s">
        <v>829</v>
      </c>
      <c r="B324" s="21" t="s">
        <v>830</v>
      </c>
      <c r="C324" s="21" t="s">
        <v>737</v>
      </c>
      <c r="D324" s="21" t="s">
        <v>831</v>
      </c>
      <c r="E324" s="22" t="s">
        <v>201</v>
      </c>
      <c r="F324" s="80">
        <v>2</v>
      </c>
      <c r="G324" s="23">
        <v>146.85</v>
      </c>
      <c r="H324" s="23">
        <f>ROUND(ROUND(G324 * J11, 2) + G324, 2)</f>
        <v>186.12</v>
      </c>
      <c r="I324" s="23">
        <f t="shared" si="4"/>
        <v>372.24</v>
      </c>
      <c r="J324" s="39">
        <f>I324 / J10</f>
        <v>1.9789290099355537E-4</v>
      </c>
    </row>
    <row r="325" spans="1:10" ht="51.95" customHeight="1" x14ac:dyDescent="0.2">
      <c r="A325" s="38" t="s">
        <v>832</v>
      </c>
      <c r="B325" s="21" t="s">
        <v>833</v>
      </c>
      <c r="C325" s="21" t="s">
        <v>18</v>
      </c>
      <c r="D325" s="21" t="s">
        <v>834</v>
      </c>
      <c r="E325" s="22" t="s">
        <v>201</v>
      </c>
      <c r="F325" s="80">
        <v>1</v>
      </c>
      <c r="G325" s="23">
        <v>184.31</v>
      </c>
      <c r="H325" s="23">
        <f>ROUND(ROUND(G325 * J11, 2) + G325, 2)</f>
        <v>233.59</v>
      </c>
      <c r="I325" s="23">
        <f t="shared" si="4"/>
        <v>233.59</v>
      </c>
      <c r="J325" s="39">
        <f>I325 / J10</f>
        <v>1.2418279266893561E-4</v>
      </c>
    </row>
    <row r="326" spans="1:10" ht="51.95" customHeight="1" x14ac:dyDescent="0.2">
      <c r="A326" s="38" t="s">
        <v>835</v>
      </c>
      <c r="B326" s="21" t="s">
        <v>836</v>
      </c>
      <c r="C326" s="21" t="s">
        <v>18</v>
      </c>
      <c r="D326" s="21" t="s">
        <v>837</v>
      </c>
      <c r="E326" s="22" t="s">
        <v>201</v>
      </c>
      <c r="F326" s="80">
        <v>2</v>
      </c>
      <c r="G326" s="23">
        <v>155.11000000000001</v>
      </c>
      <c r="H326" s="23">
        <f>ROUND(ROUND(G326 * J11, 2) + G326, 2)</f>
        <v>196.59</v>
      </c>
      <c r="I326" s="23">
        <f t="shared" si="4"/>
        <v>393.18</v>
      </c>
      <c r="J326" s="39">
        <f>I326 / J10</f>
        <v>2.0902517411521088E-4</v>
      </c>
    </row>
    <row r="327" spans="1:10" ht="26.1" customHeight="1" x14ac:dyDescent="0.2">
      <c r="A327" s="38" t="s">
        <v>838</v>
      </c>
      <c r="B327" s="21" t="s">
        <v>839</v>
      </c>
      <c r="C327" s="21" t="s">
        <v>737</v>
      </c>
      <c r="D327" s="21" t="s">
        <v>840</v>
      </c>
      <c r="E327" s="22" t="s">
        <v>47</v>
      </c>
      <c r="F327" s="80">
        <v>1.8</v>
      </c>
      <c r="G327" s="23">
        <v>594</v>
      </c>
      <c r="H327" s="23">
        <f>ROUND(ROUND(G327 * J11, 2) + G327, 2)</f>
        <v>752.84</v>
      </c>
      <c r="I327" s="23">
        <f t="shared" si="4"/>
        <v>1355.11</v>
      </c>
      <c r="J327" s="39">
        <f>I327 / J10</f>
        <v>7.2041330610728767E-4</v>
      </c>
    </row>
    <row r="328" spans="1:10" ht="24" customHeight="1" x14ac:dyDescent="0.2">
      <c r="A328" s="38" t="s">
        <v>841</v>
      </c>
      <c r="B328" s="21" t="s">
        <v>842</v>
      </c>
      <c r="C328" s="21" t="s">
        <v>154</v>
      </c>
      <c r="D328" s="21" t="s">
        <v>843</v>
      </c>
      <c r="E328" s="22" t="s">
        <v>20</v>
      </c>
      <c r="F328" s="80">
        <v>7.2</v>
      </c>
      <c r="G328" s="23">
        <v>573.02</v>
      </c>
      <c r="H328" s="23">
        <f>ROUND(ROUND(G328 * J11, 2) + G328, 2)</f>
        <v>726.25</v>
      </c>
      <c r="I328" s="23">
        <f t="shared" si="4"/>
        <v>5229</v>
      </c>
      <c r="J328" s="39">
        <f>I328 / J10</f>
        <v>2.7798785173417714E-3</v>
      </c>
    </row>
    <row r="329" spans="1:10" ht="39" customHeight="1" x14ac:dyDescent="0.2">
      <c r="A329" s="38" t="s">
        <v>844</v>
      </c>
      <c r="B329" s="21" t="s">
        <v>845</v>
      </c>
      <c r="C329" s="21" t="s">
        <v>18</v>
      </c>
      <c r="D329" s="21" t="s">
        <v>846</v>
      </c>
      <c r="E329" s="22" t="s">
        <v>20</v>
      </c>
      <c r="F329" s="80">
        <v>3.56</v>
      </c>
      <c r="G329" s="23">
        <v>146.34</v>
      </c>
      <c r="H329" s="23">
        <f>ROUND(ROUND(G329 * J11, 2) + G329, 2)</f>
        <v>185.47</v>
      </c>
      <c r="I329" s="23">
        <f t="shared" si="4"/>
        <v>660.27</v>
      </c>
      <c r="J329" s="39">
        <f>I329 / J10</f>
        <v>3.5101747727008057E-4</v>
      </c>
    </row>
    <row r="330" spans="1:10" ht="65.099999999999994" customHeight="1" x14ac:dyDescent="0.2">
      <c r="A330" s="38" t="s">
        <v>847</v>
      </c>
      <c r="B330" s="21" t="s">
        <v>848</v>
      </c>
      <c r="C330" s="21" t="s">
        <v>18</v>
      </c>
      <c r="D330" s="21" t="s">
        <v>849</v>
      </c>
      <c r="E330" s="22" t="s">
        <v>201</v>
      </c>
      <c r="F330" s="80">
        <v>2</v>
      </c>
      <c r="G330" s="23">
        <v>527.48</v>
      </c>
      <c r="H330" s="23">
        <f>ROUND(ROUND(G330 * J11, 2) + G330, 2)</f>
        <v>668.53</v>
      </c>
      <c r="I330" s="23">
        <f t="shared" si="4"/>
        <v>1337.06</v>
      </c>
      <c r="J330" s="39">
        <f>I330 / J10</f>
        <v>7.1081743553203067E-4</v>
      </c>
    </row>
    <row r="331" spans="1:10" ht="51.95" customHeight="1" x14ac:dyDescent="0.2">
      <c r="A331" s="38" t="s">
        <v>850</v>
      </c>
      <c r="B331" s="21" t="s">
        <v>851</v>
      </c>
      <c r="C331" s="21" t="s">
        <v>18</v>
      </c>
      <c r="D331" s="21" t="s">
        <v>852</v>
      </c>
      <c r="E331" s="22" t="s">
        <v>201</v>
      </c>
      <c r="F331" s="80">
        <v>2</v>
      </c>
      <c r="G331" s="23">
        <v>165.04</v>
      </c>
      <c r="H331" s="23">
        <f>ROUND(ROUND(G331 * J11, 2) + G331, 2)</f>
        <v>209.17</v>
      </c>
      <c r="I331" s="23">
        <f t="shared" si="4"/>
        <v>418.34</v>
      </c>
      <c r="J331" s="39">
        <f>I331 / J10</f>
        <v>2.2240091393091539E-4</v>
      </c>
    </row>
    <row r="332" spans="1:10" ht="26.1" customHeight="1" x14ac:dyDescent="0.2">
      <c r="A332" s="38" t="s">
        <v>853</v>
      </c>
      <c r="B332" s="21" t="s">
        <v>854</v>
      </c>
      <c r="C332" s="21" t="s">
        <v>154</v>
      </c>
      <c r="D332" s="21" t="s">
        <v>855</v>
      </c>
      <c r="E332" s="22" t="s">
        <v>20</v>
      </c>
      <c r="F332" s="80">
        <v>6.42</v>
      </c>
      <c r="G332" s="23">
        <v>186.68</v>
      </c>
      <c r="H332" s="23">
        <f>ROUND(ROUND(G332 * J11, 2) + G332, 2)</f>
        <v>236.6</v>
      </c>
      <c r="I332" s="23">
        <f t="shared" si="4"/>
        <v>1518.97</v>
      </c>
      <c r="J332" s="39">
        <f>I332 / J10</f>
        <v>8.0752573560654629E-4</v>
      </c>
    </row>
    <row r="333" spans="1:10" ht="26.1" customHeight="1" x14ac:dyDescent="0.2">
      <c r="A333" s="38" t="s">
        <v>856</v>
      </c>
      <c r="B333" s="21" t="s">
        <v>857</v>
      </c>
      <c r="C333" s="21" t="s">
        <v>154</v>
      </c>
      <c r="D333" s="21" t="s">
        <v>858</v>
      </c>
      <c r="E333" s="22" t="s">
        <v>47</v>
      </c>
      <c r="F333" s="80">
        <v>3.2</v>
      </c>
      <c r="G333" s="23">
        <v>131.22999999999999</v>
      </c>
      <c r="H333" s="23">
        <f>ROUND(ROUND(G333 * J11, 2) + G333, 2)</f>
        <v>166.32</v>
      </c>
      <c r="I333" s="23">
        <f t="shared" ref="I333:I359" si="5">ROUND(F333 * H333,2)</f>
        <v>532.22</v>
      </c>
      <c r="J333" s="39">
        <f>I333 / J10</f>
        <v>2.8294261703951763E-4</v>
      </c>
    </row>
    <row r="334" spans="1:10" ht="26.1" customHeight="1" x14ac:dyDescent="0.2">
      <c r="A334" s="38" t="s">
        <v>859</v>
      </c>
      <c r="B334" s="21" t="s">
        <v>860</v>
      </c>
      <c r="C334" s="21" t="s">
        <v>154</v>
      </c>
      <c r="D334" s="21" t="s">
        <v>861</v>
      </c>
      <c r="E334" s="22" t="s">
        <v>47</v>
      </c>
      <c r="F334" s="80">
        <v>15.1</v>
      </c>
      <c r="G334" s="23">
        <v>200.12</v>
      </c>
      <c r="H334" s="23">
        <f>ROUND(ROUND(G334 * J11, 2) + G334, 2)</f>
        <v>253.63</v>
      </c>
      <c r="I334" s="23">
        <f t="shared" si="5"/>
        <v>3829.81</v>
      </c>
      <c r="J334" s="39">
        <f>I334 / J10</f>
        <v>2.0360310851980663E-3</v>
      </c>
    </row>
    <row r="335" spans="1:10" ht="24" customHeight="1" x14ac:dyDescent="0.2">
      <c r="A335" s="74" t="s">
        <v>862</v>
      </c>
      <c r="B335" s="75" t="s">
        <v>13</v>
      </c>
      <c r="C335" s="75"/>
      <c r="D335" s="75" t="s">
        <v>863</v>
      </c>
      <c r="E335" s="76"/>
      <c r="F335" s="77">
        <v>1</v>
      </c>
      <c r="G335" s="77" t="s">
        <v>15</v>
      </c>
      <c r="H335" s="78">
        <f>I336 + I341 + I343 + I347</f>
        <v>36031.800000000003</v>
      </c>
      <c r="I335" s="78">
        <f t="shared" si="5"/>
        <v>36031.800000000003</v>
      </c>
      <c r="J335" s="79">
        <f>I335 / J10</f>
        <v>1.9155484176927758E-2</v>
      </c>
    </row>
    <row r="336" spans="1:10" ht="24" customHeight="1" x14ac:dyDescent="0.2">
      <c r="A336" s="74" t="s">
        <v>864</v>
      </c>
      <c r="B336" s="75" t="s">
        <v>13</v>
      </c>
      <c r="C336" s="75"/>
      <c r="D336" s="75" t="s">
        <v>865</v>
      </c>
      <c r="E336" s="76"/>
      <c r="F336" s="77">
        <v>1</v>
      </c>
      <c r="G336" s="77" t="s">
        <v>15</v>
      </c>
      <c r="H336" s="78">
        <f>I337 + I338 + I339 + I340</f>
        <v>26143.05</v>
      </c>
      <c r="I336" s="78">
        <f t="shared" si="5"/>
        <v>26143.05</v>
      </c>
      <c r="J336" s="79">
        <f>I336 / J10</f>
        <v>1.3898355913710421E-2</v>
      </c>
    </row>
    <row r="337" spans="1:10" ht="39" customHeight="1" x14ac:dyDescent="0.2">
      <c r="A337" s="38" t="s">
        <v>866</v>
      </c>
      <c r="B337" s="21" t="s">
        <v>867</v>
      </c>
      <c r="C337" s="21" t="s">
        <v>18</v>
      </c>
      <c r="D337" s="21" t="s">
        <v>868</v>
      </c>
      <c r="E337" s="22" t="s">
        <v>20</v>
      </c>
      <c r="F337" s="80">
        <v>594.01</v>
      </c>
      <c r="G337" s="23">
        <v>7.87</v>
      </c>
      <c r="H337" s="23">
        <f>ROUND(ROUND(G337 * J11, 2) + G337, 2)</f>
        <v>9.9700000000000006</v>
      </c>
      <c r="I337" s="23">
        <f t="shared" si="5"/>
        <v>5922.28</v>
      </c>
      <c r="J337" s="39">
        <f>I337 / J10</f>
        <v>3.1484450077802306E-3</v>
      </c>
    </row>
    <row r="338" spans="1:10" ht="26.1" customHeight="1" x14ac:dyDescent="0.2">
      <c r="A338" s="38" t="s">
        <v>869</v>
      </c>
      <c r="B338" s="21" t="s">
        <v>870</v>
      </c>
      <c r="C338" s="21" t="s">
        <v>27</v>
      </c>
      <c r="D338" s="21" t="s">
        <v>871</v>
      </c>
      <c r="E338" s="22" t="s">
        <v>20</v>
      </c>
      <c r="F338" s="80">
        <v>320.83</v>
      </c>
      <c r="G338" s="23">
        <v>16.86</v>
      </c>
      <c r="H338" s="23">
        <f>ROUND(ROUND(G338 * J11, 2) + G338, 2)</f>
        <v>21.37</v>
      </c>
      <c r="I338" s="23">
        <f t="shared" si="5"/>
        <v>6856.14</v>
      </c>
      <c r="J338" s="39">
        <f>I338 / J10</f>
        <v>3.6449103648666307E-3</v>
      </c>
    </row>
    <row r="339" spans="1:10" ht="26.1" customHeight="1" x14ac:dyDescent="0.2">
      <c r="A339" s="38" t="s">
        <v>872</v>
      </c>
      <c r="B339" s="21" t="s">
        <v>873</v>
      </c>
      <c r="C339" s="21" t="s">
        <v>27</v>
      </c>
      <c r="D339" s="21" t="s">
        <v>874</v>
      </c>
      <c r="E339" s="22" t="s">
        <v>20</v>
      </c>
      <c r="F339" s="80">
        <v>635.05999999999995</v>
      </c>
      <c r="G339" s="23">
        <v>14.39</v>
      </c>
      <c r="H339" s="23">
        <f>ROUND(ROUND(G339 * J11, 2) + G339, 2)</f>
        <v>18.239999999999998</v>
      </c>
      <c r="I339" s="23">
        <f t="shared" si="5"/>
        <v>11583.49</v>
      </c>
      <c r="J339" s="39">
        <f>I339 / J10</f>
        <v>6.1580981080212724E-3</v>
      </c>
    </row>
    <row r="340" spans="1:10" ht="26.1" customHeight="1" x14ac:dyDescent="0.2">
      <c r="A340" s="38" t="s">
        <v>875</v>
      </c>
      <c r="B340" s="21" t="s">
        <v>876</v>
      </c>
      <c r="C340" s="21" t="s">
        <v>18</v>
      </c>
      <c r="D340" s="21" t="s">
        <v>877</v>
      </c>
      <c r="E340" s="22" t="s">
        <v>20</v>
      </c>
      <c r="F340" s="80">
        <v>43.2</v>
      </c>
      <c r="G340" s="23">
        <v>32.53</v>
      </c>
      <c r="H340" s="23">
        <f>ROUND(ROUND(G340 * J11, 2) + G340, 2)</f>
        <v>41.23</v>
      </c>
      <c r="I340" s="23">
        <f t="shared" si="5"/>
        <v>1781.14</v>
      </c>
      <c r="J340" s="39">
        <f>I340 / J10</f>
        <v>9.469024330422878E-4</v>
      </c>
    </row>
    <row r="341" spans="1:10" ht="24" customHeight="1" x14ac:dyDescent="0.2">
      <c r="A341" s="74" t="s">
        <v>878</v>
      </c>
      <c r="B341" s="75" t="s">
        <v>13</v>
      </c>
      <c r="C341" s="75"/>
      <c r="D341" s="75" t="s">
        <v>879</v>
      </c>
      <c r="E341" s="76"/>
      <c r="F341" s="77">
        <v>1</v>
      </c>
      <c r="G341" s="77" t="s">
        <v>15</v>
      </c>
      <c r="H341" s="78">
        <f>I342</f>
        <v>2071.2199999999998</v>
      </c>
      <c r="I341" s="78">
        <f t="shared" si="5"/>
        <v>2071.2199999999998</v>
      </c>
      <c r="J341" s="79">
        <f>I341 / J10</f>
        <v>1.1011168450351164E-3</v>
      </c>
    </row>
    <row r="342" spans="1:10" ht="26.1" customHeight="1" x14ac:dyDescent="0.2">
      <c r="A342" s="38" t="s">
        <v>880</v>
      </c>
      <c r="B342" s="21" t="s">
        <v>881</v>
      </c>
      <c r="C342" s="21" t="s">
        <v>27</v>
      </c>
      <c r="D342" s="21" t="s">
        <v>882</v>
      </c>
      <c r="E342" s="22" t="s">
        <v>20</v>
      </c>
      <c r="F342" s="80">
        <v>95.89</v>
      </c>
      <c r="G342" s="23">
        <v>17.04</v>
      </c>
      <c r="H342" s="23">
        <f>ROUND(ROUND(G342 * J11, 2) + G342, 2)</f>
        <v>21.6</v>
      </c>
      <c r="I342" s="23">
        <f t="shared" si="5"/>
        <v>2071.2199999999998</v>
      </c>
      <c r="J342" s="39">
        <f>I342 / J10</f>
        <v>1.1011168450351164E-3</v>
      </c>
    </row>
    <row r="343" spans="1:10" ht="24" customHeight="1" x14ac:dyDescent="0.2">
      <c r="A343" s="74" t="s">
        <v>883</v>
      </c>
      <c r="B343" s="75" t="s">
        <v>13</v>
      </c>
      <c r="C343" s="75"/>
      <c r="D343" s="75" t="s">
        <v>712</v>
      </c>
      <c r="E343" s="76"/>
      <c r="F343" s="77">
        <v>1</v>
      </c>
      <c r="G343" s="77" t="s">
        <v>15</v>
      </c>
      <c r="H343" s="78">
        <f>I344 + I345 + I346</f>
        <v>3220.27</v>
      </c>
      <c r="I343" s="78">
        <f t="shared" si="5"/>
        <v>3220.27</v>
      </c>
      <c r="J343" s="79">
        <f>I343 / J10</f>
        <v>1.7119830547026556E-3</v>
      </c>
    </row>
    <row r="344" spans="1:10" ht="39" customHeight="1" x14ac:dyDescent="0.2">
      <c r="A344" s="38" t="s">
        <v>884</v>
      </c>
      <c r="B344" s="21" t="s">
        <v>885</v>
      </c>
      <c r="C344" s="21" t="s">
        <v>18</v>
      </c>
      <c r="D344" s="21" t="s">
        <v>886</v>
      </c>
      <c r="E344" s="22" t="s">
        <v>20</v>
      </c>
      <c r="F344" s="80">
        <v>27.3</v>
      </c>
      <c r="G344" s="23">
        <v>42.03</v>
      </c>
      <c r="H344" s="23">
        <f>ROUND(ROUND(G344 * J11, 2) + G344, 2)</f>
        <v>53.27</v>
      </c>
      <c r="I344" s="23">
        <f t="shared" si="5"/>
        <v>1454.27</v>
      </c>
      <c r="J344" s="39">
        <f>I344 / J10</f>
        <v>7.7312945714565261E-4</v>
      </c>
    </row>
    <row r="345" spans="1:10" ht="51.95" customHeight="1" x14ac:dyDescent="0.2">
      <c r="A345" s="38" t="s">
        <v>887</v>
      </c>
      <c r="B345" s="21" t="s">
        <v>888</v>
      </c>
      <c r="C345" s="21" t="s">
        <v>18</v>
      </c>
      <c r="D345" s="21" t="s">
        <v>889</v>
      </c>
      <c r="E345" s="22" t="s">
        <v>20</v>
      </c>
      <c r="F345" s="80">
        <v>37.32</v>
      </c>
      <c r="G345" s="23">
        <v>19.91</v>
      </c>
      <c r="H345" s="23">
        <f>ROUND(ROUND(G345 * J11, 2) + G345, 2)</f>
        <v>25.23</v>
      </c>
      <c r="I345" s="23">
        <f t="shared" si="5"/>
        <v>941.58</v>
      </c>
      <c r="J345" s="39">
        <f>I345 / J10</f>
        <v>5.0056951890584535E-4</v>
      </c>
    </row>
    <row r="346" spans="1:10" ht="39" customHeight="1" x14ac:dyDescent="0.2">
      <c r="A346" s="38" t="s">
        <v>890</v>
      </c>
      <c r="B346" s="21" t="s">
        <v>891</v>
      </c>
      <c r="C346" s="21" t="s">
        <v>18</v>
      </c>
      <c r="D346" s="21" t="s">
        <v>892</v>
      </c>
      <c r="E346" s="22" t="s">
        <v>20</v>
      </c>
      <c r="F346" s="80">
        <v>18.39</v>
      </c>
      <c r="G346" s="23">
        <v>35.369999999999997</v>
      </c>
      <c r="H346" s="23">
        <f>ROUND(ROUND(G346 * J11, 2) + G346, 2)</f>
        <v>44.83</v>
      </c>
      <c r="I346" s="23">
        <f t="shared" si="5"/>
        <v>824.42</v>
      </c>
      <c r="J346" s="39">
        <f>I346 / J10</f>
        <v>4.3828407865115757E-4</v>
      </c>
    </row>
    <row r="347" spans="1:10" ht="24" customHeight="1" x14ac:dyDescent="0.2">
      <c r="A347" s="74" t="s">
        <v>893</v>
      </c>
      <c r="B347" s="75" t="s">
        <v>13</v>
      </c>
      <c r="C347" s="75"/>
      <c r="D347" s="75" t="s">
        <v>894</v>
      </c>
      <c r="E347" s="76"/>
      <c r="F347" s="77">
        <v>1</v>
      </c>
      <c r="G347" s="77" t="s">
        <v>15</v>
      </c>
      <c r="H347" s="78">
        <f>I348 + I349</f>
        <v>4597.26</v>
      </c>
      <c r="I347" s="78">
        <f t="shared" si="5"/>
        <v>4597.26</v>
      </c>
      <c r="J347" s="79">
        <f>I347 / J10</f>
        <v>2.4440283634795624E-3</v>
      </c>
    </row>
    <row r="348" spans="1:10" ht="39" customHeight="1" x14ac:dyDescent="0.2">
      <c r="A348" s="38" t="s">
        <v>895</v>
      </c>
      <c r="B348" s="21" t="s">
        <v>867</v>
      </c>
      <c r="C348" s="21" t="s">
        <v>18</v>
      </c>
      <c r="D348" s="21" t="s">
        <v>868</v>
      </c>
      <c r="E348" s="22" t="s">
        <v>20</v>
      </c>
      <c r="F348" s="80">
        <v>125.6</v>
      </c>
      <c r="G348" s="23">
        <v>7.87</v>
      </c>
      <c r="H348" s="23">
        <f>ROUND(ROUND(G348 * J11, 2) + G348, 2)</f>
        <v>9.9700000000000006</v>
      </c>
      <c r="I348" s="23">
        <f t="shared" si="5"/>
        <v>1252.23</v>
      </c>
      <c r="J348" s="39">
        <f>I348 / J10</f>
        <v>6.6571950196421612E-4</v>
      </c>
    </row>
    <row r="349" spans="1:10" ht="26.1" customHeight="1" x14ac:dyDescent="0.2">
      <c r="A349" s="38" t="s">
        <v>896</v>
      </c>
      <c r="B349" s="21" t="s">
        <v>873</v>
      </c>
      <c r="C349" s="21" t="s">
        <v>27</v>
      </c>
      <c r="D349" s="21" t="s">
        <v>874</v>
      </c>
      <c r="E349" s="22" t="s">
        <v>20</v>
      </c>
      <c r="F349" s="80">
        <v>183.39</v>
      </c>
      <c r="G349" s="23">
        <v>14.39</v>
      </c>
      <c r="H349" s="23">
        <f>ROUND(ROUND(G349 * J11, 2) + G349, 2)</f>
        <v>18.239999999999998</v>
      </c>
      <c r="I349" s="23">
        <f t="shared" si="5"/>
        <v>3345.03</v>
      </c>
      <c r="J349" s="39">
        <f>I349 / J10</f>
        <v>1.7783088615153464E-3</v>
      </c>
    </row>
    <row r="350" spans="1:10" ht="24" customHeight="1" x14ac:dyDescent="0.2">
      <c r="A350" s="74" t="s">
        <v>897</v>
      </c>
      <c r="B350" s="75" t="s">
        <v>13</v>
      </c>
      <c r="C350" s="75"/>
      <c r="D350" s="75" t="s">
        <v>898</v>
      </c>
      <c r="E350" s="76"/>
      <c r="F350" s="77">
        <v>1</v>
      </c>
      <c r="G350" s="77" t="s">
        <v>15</v>
      </c>
      <c r="H350" s="78">
        <f>I351 + I352 + I353 + I354 + I355</f>
        <v>6210.0700000000006</v>
      </c>
      <c r="I350" s="78">
        <f t="shared" si="5"/>
        <v>6210.07</v>
      </c>
      <c r="J350" s="79">
        <f>I350 / J10</f>
        <v>3.3014419935338715E-3</v>
      </c>
    </row>
    <row r="351" spans="1:10" ht="26.1" customHeight="1" x14ac:dyDescent="0.2">
      <c r="A351" s="38" t="s">
        <v>899</v>
      </c>
      <c r="B351" s="21" t="s">
        <v>900</v>
      </c>
      <c r="C351" s="21" t="s">
        <v>27</v>
      </c>
      <c r="D351" s="21" t="s">
        <v>901</v>
      </c>
      <c r="E351" s="22" t="s">
        <v>20</v>
      </c>
      <c r="F351" s="80">
        <v>159.74</v>
      </c>
      <c r="G351" s="23">
        <v>17.13</v>
      </c>
      <c r="H351" s="23">
        <f>ROUND(ROUND(G351 * J11, 2) + G351, 2)</f>
        <v>21.71</v>
      </c>
      <c r="I351" s="23">
        <f t="shared" si="5"/>
        <v>3467.96</v>
      </c>
      <c r="J351" s="39">
        <f>I351 / J10</f>
        <v>1.8436617905910441E-3</v>
      </c>
    </row>
    <row r="352" spans="1:10" ht="26.1" customHeight="1" x14ac:dyDescent="0.2">
      <c r="A352" s="38" t="s">
        <v>902</v>
      </c>
      <c r="B352" s="21" t="s">
        <v>903</v>
      </c>
      <c r="C352" s="21" t="s">
        <v>27</v>
      </c>
      <c r="D352" s="21" t="s">
        <v>904</v>
      </c>
      <c r="E352" s="22" t="s">
        <v>240</v>
      </c>
      <c r="F352" s="80">
        <v>9</v>
      </c>
      <c r="G352" s="23">
        <v>63.93</v>
      </c>
      <c r="H352" s="23">
        <f>ROUND(ROUND(G352 * J11, 2) + G352, 2)</f>
        <v>81.02</v>
      </c>
      <c r="I352" s="23">
        <f t="shared" si="5"/>
        <v>729.18</v>
      </c>
      <c r="J352" s="39">
        <f>I352 / J10</f>
        <v>3.876519061532363E-4</v>
      </c>
    </row>
    <row r="353" spans="1:10" ht="26.1" customHeight="1" x14ac:dyDescent="0.2">
      <c r="A353" s="38" t="s">
        <v>905</v>
      </c>
      <c r="B353" s="21" t="s">
        <v>906</v>
      </c>
      <c r="C353" s="21" t="s">
        <v>154</v>
      </c>
      <c r="D353" s="21" t="s">
        <v>907</v>
      </c>
      <c r="E353" s="22" t="s">
        <v>201</v>
      </c>
      <c r="F353" s="80">
        <v>33</v>
      </c>
      <c r="G353" s="23">
        <v>28.11</v>
      </c>
      <c r="H353" s="23">
        <f>ROUND(ROUND(G353 * J11, 2) + G353, 2)</f>
        <v>35.630000000000003</v>
      </c>
      <c r="I353" s="23">
        <f t="shared" si="5"/>
        <v>1175.79</v>
      </c>
      <c r="J353" s="39">
        <f>I353 / J10</f>
        <v>6.250819204255654E-4</v>
      </c>
    </row>
    <row r="354" spans="1:10" ht="26.1" customHeight="1" x14ac:dyDescent="0.2">
      <c r="A354" s="38" t="s">
        <v>908</v>
      </c>
      <c r="B354" s="21" t="s">
        <v>909</v>
      </c>
      <c r="C354" s="21" t="s">
        <v>154</v>
      </c>
      <c r="D354" s="21" t="s">
        <v>910</v>
      </c>
      <c r="E354" s="22" t="s">
        <v>201</v>
      </c>
      <c r="F354" s="80">
        <v>1</v>
      </c>
      <c r="G354" s="23">
        <v>434.04</v>
      </c>
      <c r="H354" s="23">
        <f>ROUND(ROUND(G354 * J11, 2) + G354, 2)</f>
        <v>550.1</v>
      </c>
      <c r="I354" s="23">
        <f t="shared" si="5"/>
        <v>550.1</v>
      </c>
      <c r="J354" s="39">
        <f>I354 / J10</f>
        <v>2.9244811099439825E-4</v>
      </c>
    </row>
    <row r="355" spans="1:10" ht="26.1" customHeight="1" x14ac:dyDescent="0.2">
      <c r="A355" s="38" t="s">
        <v>911</v>
      </c>
      <c r="B355" s="21" t="s">
        <v>912</v>
      </c>
      <c r="C355" s="21" t="s">
        <v>154</v>
      </c>
      <c r="D355" s="21" t="s">
        <v>913</v>
      </c>
      <c r="E355" s="22" t="s">
        <v>201</v>
      </c>
      <c r="F355" s="80">
        <v>2</v>
      </c>
      <c r="G355" s="23">
        <v>113.24</v>
      </c>
      <c r="H355" s="23">
        <f>ROUND(ROUND(G355 * J11, 2) + G355, 2)</f>
        <v>143.52000000000001</v>
      </c>
      <c r="I355" s="23">
        <f t="shared" si="5"/>
        <v>287.04000000000002</v>
      </c>
      <c r="J355" s="39">
        <f>I355 / J10</f>
        <v>1.5259826536962747E-4</v>
      </c>
    </row>
    <row r="356" spans="1:10" ht="24" customHeight="1" x14ac:dyDescent="0.2">
      <c r="A356" s="74" t="s">
        <v>914</v>
      </c>
      <c r="B356" s="75" t="s">
        <v>13</v>
      </c>
      <c r="C356" s="75"/>
      <c r="D356" s="75" t="s">
        <v>915</v>
      </c>
      <c r="E356" s="76"/>
      <c r="F356" s="77">
        <v>1</v>
      </c>
      <c r="G356" s="77" t="s">
        <v>15</v>
      </c>
      <c r="H356" s="78">
        <f>I357</f>
        <v>1501.32</v>
      </c>
      <c r="I356" s="78">
        <f t="shared" si="5"/>
        <v>1501.32</v>
      </c>
      <c r="J356" s="79">
        <f>I356 / J10</f>
        <v>7.9814251590276306E-4</v>
      </c>
    </row>
    <row r="357" spans="1:10" ht="26.1" customHeight="1" x14ac:dyDescent="0.2">
      <c r="A357" s="38" t="s">
        <v>916</v>
      </c>
      <c r="B357" s="21" t="s">
        <v>917</v>
      </c>
      <c r="C357" s="21" t="s">
        <v>154</v>
      </c>
      <c r="D357" s="21" t="s">
        <v>918</v>
      </c>
      <c r="E357" s="22" t="s">
        <v>20</v>
      </c>
      <c r="F357" s="81">
        <v>0.72</v>
      </c>
      <c r="G357" s="23">
        <v>1645.23</v>
      </c>
      <c r="H357" s="23">
        <f>ROUND(ROUND(G357 * J11, 2) + G357, 2)</f>
        <v>2085.16</v>
      </c>
      <c r="I357" s="23">
        <f t="shared" si="5"/>
        <v>1501.32</v>
      </c>
      <c r="J357" s="39">
        <f>I357 / J10</f>
        <v>7.9814251590276306E-4</v>
      </c>
    </row>
    <row r="358" spans="1:10" ht="24" customHeight="1" x14ac:dyDescent="0.2">
      <c r="A358" s="36" t="s">
        <v>919</v>
      </c>
      <c r="B358" s="17" t="s">
        <v>13</v>
      </c>
      <c r="C358" s="17"/>
      <c r="D358" s="17" t="s">
        <v>920</v>
      </c>
      <c r="E358" s="18"/>
      <c r="F358" s="19">
        <v>1</v>
      </c>
      <c r="G358" s="19" t="s">
        <v>15</v>
      </c>
      <c r="H358" s="20">
        <f>I359</f>
        <v>5498.79</v>
      </c>
      <c r="I358" s="20">
        <f t="shared" si="5"/>
        <v>5498.79</v>
      </c>
      <c r="J358" s="37">
        <f>I358 / J10</f>
        <v>2.9233062138790894E-3</v>
      </c>
    </row>
    <row r="359" spans="1:10" ht="24" customHeight="1" thickBot="1" x14ac:dyDescent="0.25">
      <c r="A359" s="40" t="s">
        <v>921</v>
      </c>
      <c r="B359" s="41" t="s">
        <v>922</v>
      </c>
      <c r="C359" s="41" t="s">
        <v>721</v>
      </c>
      <c r="D359" s="41" t="s">
        <v>923</v>
      </c>
      <c r="E359" s="42" t="s">
        <v>20</v>
      </c>
      <c r="F359" s="82">
        <v>1172.45</v>
      </c>
      <c r="G359" s="43">
        <v>3.7</v>
      </c>
      <c r="H359" s="43">
        <f>ROUND(ROUND(G359 * J11, 2) + G359, 2)</f>
        <v>4.6900000000000004</v>
      </c>
      <c r="I359" s="43">
        <f t="shared" si="5"/>
        <v>5498.79</v>
      </c>
      <c r="J359" s="44">
        <f>I359 / J10</f>
        <v>2.9233062138790894E-3</v>
      </c>
    </row>
    <row r="360" spans="1:10" ht="15" thickBot="1" x14ac:dyDescent="0.25">
      <c r="A360" s="45"/>
      <c r="B360" s="45"/>
      <c r="C360" s="45"/>
      <c r="D360" s="45"/>
      <c r="E360" s="46"/>
      <c r="F360" s="47"/>
      <c r="G360" s="48"/>
      <c r="H360" s="48"/>
      <c r="I360" s="48"/>
      <c r="J360" s="49"/>
    </row>
    <row r="361" spans="1:10" ht="21" thickBot="1" x14ac:dyDescent="0.35">
      <c r="A361" s="180" t="s">
        <v>951</v>
      </c>
      <c r="B361" s="180"/>
      <c r="C361" s="180"/>
      <c r="D361" s="180"/>
      <c r="E361" s="180"/>
      <c r="F361" s="180"/>
      <c r="G361" s="180"/>
      <c r="H361" s="180"/>
      <c r="I361" s="181">
        <f>I13+I22+I128+I358</f>
        <v>1881017.4500000002</v>
      </c>
      <c r="J361" s="181"/>
    </row>
    <row r="362" spans="1:10" x14ac:dyDescent="0.2">
      <c r="A362" s="50"/>
      <c r="B362" s="51"/>
      <c r="C362" s="51"/>
      <c r="D362" s="51"/>
      <c r="E362" s="51"/>
      <c r="F362" s="52"/>
      <c r="G362" s="53"/>
      <c r="H362" s="51"/>
      <c r="I362" s="51"/>
      <c r="J362" s="24"/>
    </row>
    <row r="363" spans="1:10" x14ac:dyDescent="0.2">
      <c r="A363" s="54"/>
      <c r="B363" s="55"/>
      <c r="C363" s="55"/>
      <c r="D363" s="55" t="s">
        <v>952</v>
      </c>
      <c r="E363" s="55"/>
      <c r="F363" s="55"/>
      <c r="G363" s="53"/>
      <c r="H363" s="171">
        <f ca="1">TODAY()</f>
        <v>46121</v>
      </c>
      <c r="I363" s="171"/>
      <c r="J363" s="56"/>
    </row>
    <row r="364" spans="1:10" x14ac:dyDescent="0.2">
      <c r="A364" s="57"/>
      <c r="B364" s="58"/>
      <c r="C364" s="58"/>
      <c r="D364" s="58" t="s">
        <v>953</v>
      </c>
      <c r="E364" s="58"/>
      <c r="F364" s="58"/>
      <c r="G364" s="53"/>
      <c r="H364" s="59" t="s">
        <v>954</v>
      </c>
      <c r="I364" s="51"/>
      <c r="J364" s="56"/>
    </row>
    <row r="365" spans="1:10" x14ac:dyDescent="0.2">
      <c r="A365" s="60"/>
      <c r="B365" s="51"/>
      <c r="C365" s="51"/>
      <c r="D365" s="51"/>
      <c r="E365" s="51"/>
      <c r="F365" s="51"/>
      <c r="G365" s="53"/>
      <c r="H365" s="51"/>
      <c r="I365" s="51"/>
      <c r="J365" s="56"/>
    </row>
    <row r="366" spans="1:10" x14ac:dyDescent="0.2">
      <c r="A366" s="60"/>
      <c r="B366" s="51"/>
      <c r="C366" s="51"/>
      <c r="D366" s="51"/>
      <c r="E366" s="51"/>
      <c r="F366" s="51"/>
      <c r="G366" s="53"/>
      <c r="H366" s="51"/>
      <c r="I366" s="51"/>
      <c r="J366" s="56"/>
    </row>
    <row r="367" spans="1:10" x14ac:dyDescent="0.2">
      <c r="A367" s="60"/>
      <c r="B367" s="51"/>
      <c r="C367" s="51"/>
      <c r="D367" s="51"/>
      <c r="E367" s="51"/>
      <c r="F367" s="51"/>
      <c r="G367" s="53"/>
      <c r="H367" s="51"/>
      <c r="I367" s="51"/>
      <c r="J367" s="56"/>
    </row>
    <row r="368" spans="1:10" x14ac:dyDescent="0.2">
      <c r="A368" s="60"/>
      <c r="B368" s="51"/>
      <c r="C368" s="51"/>
      <c r="D368" s="51"/>
      <c r="E368" s="51"/>
      <c r="F368" s="51"/>
      <c r="G368" s="53"/>
      <c r="H368" s="51"/>
      <c r="I368" s="51"/>
      <c r="J368" s="56"/>
    </row>
    <row r="369" spans="1:10" ht="15" thickBot="1" x14ac:dyDescent="0.25">
      <c r="A369" s="57"/>
      <c r="B369" s="58"/>
      <c r="C369" s="58"/>
      <c r="D369" s="61"/>
      <c r="E369" s="58"/>
      <c r="F369" s="58"/>
      <c r="G369" s="53"/>
      <c r="H369" s="51"/>
      <c r="I369" s="51"/>
      <c r="J369" s="56"/>
    </row>
    <row r="370" spans="1:10" x14ac:dyDescent="0.2">
      <c r="A370" s="62"/>
      <c r="B370" s="63"/>
      <c r="C370" s="63"/>
      <c r="D370" s="64" t="s">
        <v>955</v>
      </c>
      <c r="E370" s="63"/>
      <c r="F370" s="63"/>
      <c r="G370" s="53"/>
      <c r="H370" s="51"/>
      <c r="I370" s="51"/>
      <c r="J370" s="56"/>
    </row>
    <row r="371" spans="1:10" x14ac:dyDescent="0.2">
      <c r="A371" s="65"/>
      <c r="B371" s="66"/>
      <c r="C371" s="66"/>
      <c r="D371" s="67" t="s">
        <v>956</v>
      </c>
      <c r="E371" s="66"/>
      <c r="F371" s="66"/>
      <c r="G371" s="53"/>
      <c r="H371" s="51"/>
      <c r="I371" s="51"/>
      <c r="J371" s="56"/>
    </row>
    <row r="372" spans="1:10" x14ac:dyDescent="0.2">
      <c r="A372" s="60"/>
      <c r="B372" s="51"/>
      <c r="C372" s="51"/>
      <c r="D372" s="51"/>
      <c r="E372" s="51"/>
      <c r="F372" s="51"/>
      <c r="G372" s="53"/>
      <c r="H372" s="51"/>
      <c r="I372" s="51"/>
      <c r="J372" s="56"/>
    </row>
    <row r="373" spans="1:10" x14ac:dyDescent="0.2">
      <c r="A373" s="60"/>
      <c r="B373" s="51"/>
      <c r="C373" s="51"/>
      <c r="D373" s="51"/>
      <c r="E373" s="51"/>
      <c r="F373" s="51"/>
      <c r="G373" s="53"/>
      <c r="H373" s="51"/>
      <c r="I373" s="51"/>
      <c r="J373" s="56"/>
    </row>
    <row r="374" spans="1:10" x14ac:dyDescent="0.2">
      <c r="A374" s="60"/>
      <c r="B374" s="51"/>
      <c r="C374" s="51"/>
      <c r="D374" s="51"/>
      <c r="E374" s="51"/>
      <c r="F374" s="51"/>
      <c r="G374" s="53"/>
      <c r="H374" s="51"/>
      <c r="I374" s="51"/>
      <c r="J374" s="56"/>
    </row>
    <row r="375" spans="1:10" x14ac:dyDescent="0.2">
      <c r="A375" s="60"/>
      <c r="B375" s="51"/>
      <c r="C375" s="51"/>
      <c r="D375" s="51"/>
      <c r="E375" s="51"/>
      <c r="F375" s="51"/>
      <c r="G375" s="53"/>
      <c r="H375" s="51"/>
      <c r="I375" s="51"/>
      <c r="J375" s="56"/>
    </row>
    <row r="376" spans="1:10" x14ac:dyDescent="0.2">
      <c r="A376" s="60"/>
      <c r="B376" s="51"/>
      <c r="C376" s="51"/>
      <c r="D376" s="51"/>
      <c r="E376" s="51"/>
      <c r="F376" s="51"/>
      <c r="G376" s="53"/>
      <c r="H376" s="51"/>
      <c r="I376" s="51"/>
      <c r="J376" s="56"/>
    </row>
    <row r="377" spans="1:10" ht="15" thickBot="1" x14ac:dyDescent="0.25">
      <c r="A377" s="57"/>
      <c r="B377" s="58"/>
      <c r="C377" s="58"/>
      <c r="D377" s="61"/>
      <c r="E377" s="58"/>
      <c r="F377" s="58"/>
      <c r="G377" s="53"/>
      <c r="H377" s="51"/>
      <c r="I377" s="51"/>
      <c r="J377" s="56"/>
    </row>
    <row r="378" spans="1:10" x14ac:dyDescent="0.2">
      <c r="A378" s="62"/>
      <c r="B378" s="63"/>
      <c r="C378" s="63"/>
      <c r="D378" s="64" t="s">
        <v>957</v>
      </c>
      <c r="E378" s="63"/>
      <c r="F378" s="63"/>
      <c r="G378" s="53"/>
      <c r="H378" s="51"/>
      <c r="I378" s="51"/>
      <c r="J378" s="56"/>
    </row>
    <row r="379" spans="1:10" x14ac:dyDescent="0.2">
      <c r="A379" s="65"/>
      <c r="B379" s="66"/>
      <c r="C379" s="66"/>
      <c r="D379" s="67" t="s">
        <v>958</v>
      </c>
      <c r="E379" s="66"/>
      <c r="F379" s="66"/>
      <c r="G379" s="53"/>
      <c r="H379" s="51"/>
      <c r="I379" s="51"/>
      <c r="J379" s="56"/>
    </row>
    <row r="380" spans="1:10" x14ac:dyDescent="0.2">
      <c r="A380" s="65"/>
      <c r="B380" s="66"/>
      <c r="C380" s="66"/>
      <c r="D380" s="67" t="s">
        <v>959</v>
      </c>
      <c r="E380" s="66"/>
      <c r="F380" s="66"/>
      <c r="G380" s="53"/>
      <c r="H380" s="51"/>
      <c r="I380" s="51"/>
      <c r="J380" s="56"/>
    </row>
    <row r="381" spans="1:10" ht="15" thickBot="1" x14ac:dyDescent="0.25">
      <c r="A381" s="68"/>
      <c r="B381" s="69"/>
      <c r="C381" s="69"/>
      <c r="D381" s="69"/>
      <c r="E381" s="69"/>
      <c r="F381" s="70"/>
      <c r="G381" s="71"/>
      <c r="H381" s="72"/>
      <c r="I381" s="72"/>
      <c r="J381" s="73"/>
    </row>
  </sheetData>
  <mergeCells count="22">
    <mergeCell ref="B4:G4"/>
    <mergeCell ref="I4:J4"/>
    <mergeCell ref="B5:G5"/>
    <mergeCell ref="I5:J5"/>
    <mergeCell ref="D6:E6"/>
    <mergeCell ref="I6:J6"/>
    <mergeCell ref="A1:J1"/>
    <mergeCell ref="A2:E2"/>
    <mergeCell ref="I2:J2"/>
    <mergeCell ref="B3:G3"/>
    <mergeCell ref="I3:J3"/>
    <mergeCell ref="H363:I363"/>
    <mergeCell ref="G7:G8"/>
    <mergeCell ref="H7:H8"/>
    <mergeCell ref="I7:J8"/>
    <mergeCell ref="A361:H361"/>
    <mergeCell ref="I361:J361"/>
    <mergeCell ref="H10:I10"/>
    <mergeCell ref="H11:I11"/>
    <mergeCell ref="A7:A8"/>
    <mergeCell ref="B7:B8"/>
    <mergeCell ref="F7:F8"/>
  </mergeCells>
  <dataValidations count="2">
    <dataValidation type="list" allowBlank="1" showInputMessage="1" showErrorMessage="1" sqref="D6">
      <formula1>"1 – Empreitada por Preço Global, 2 – Empreitada por Preço Unitário, 3 – Empreitada Integral, 4 – Tarefa, 5 – Execução Direta, 6 – Contratação integrada, 7 – Contratação semi-integrada,  8 – Fornecimento e prestação de serviço associado"</formula1>
    </dataValidation>
    <dataValidation type="list" allowBlank="1" showInputMessage="1" showErrorMessage="1" sqref="C8">
      <formula1>"Sim,Não"</formula1>
    </dataValidation>
  </dataValidations>
  <pageMargins left="0.51181102362204722" right="0.51181102362204722" top="0.59055118110236227" bottom="0.59055118110236227" header="0.51181102362204722" footer="0.51181102362204722"/>
  <pageSetup paperSize="9" scale="70" fitToHeight="0" orientation="landscape"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workbookViewId="0">
      <selection activeCell="P24" sqref="P24"/>
    </sheetView>
  </sheetViews>
  <sheetFormatPr defaultRowHeight="14.25" x14ac:dyDescent="0.2"/>
  <cols>
    <col min="2" max="2" width="27" customWidth="1"/>
    <col min="3" max="3" width="10.875" customWidth="1"/>
    <col min="4" max="4" width="13.875" customWidth="1"/>
    <col min="5" max="5" width="11.25" customWidth="1"/>
    <col min="6" max="6" width="11.75" customWidth="1"/>
    <col min="7" max="7" width="12.375" customWidth="1"/>
    <col min="8" max="8" width="11.75" customWidth="1"/>
    <col min="9" max="9" width="12.125" customWidth="1"/>
    <col min="10" max="10" width="12.375" customWidth="1"/>
    <col min="11" max="11" width="11.625" customWidth="1"/>
    <col min="12" max="12" width="14.25" customWidth="1"/>
    <col min="13" max="13" width="14.125" customWidth="1"/>
  </cols>
  <sheetData>
    <row r="1" spans="1:13" ht="58.5" customHeight="1" thickBot="1" x14ac:dyDescent="0.25">
      <c r="A1" s="277" t="s">
        <v>1018</v>
      </c>
      <c r="B1" s="277"/>
      <c r="C1" s="277"/>
      <c r="D1" s="277"/>
      <c r="E1" s="277"/>
      <c r="F1" s="277"/>
      <c r="G1" s="277"/>
      <c r="H1" s="277"/>
      <c r="I1" s="277"/>
      <c r="J1" s="277"/>
      <c r="K1" s="277"/>
      <c r="L1" s="277"/>
      <c r="M1" s="277"/>
    </row>
    <row r="2" spans="1:13" ht="21.75" thickBot="1" x14ac:dyDescent="0.25">
      <c r="A2" s="278" t="s">
        <v>1019</v>
      </c>
      <c r="B2" s="278"/>
      <c r="C2" s="278"/>
      <c r="D2" s="278"/>
      <c r="E2" s="278"/>
      <c r="F2" s="278"/>
      <c r="G2" s="278"/>
      <c r="H2" s="278"/>
      <c r="I2" s="278"/>
      <c r="J2" s="278"/>
      <c r="K2" s="278"/>
      <c r="L2" s="278"/>
      <c r="M2" s="278"/>
    </row>
    <row r="3" spans="1:13" ht="15.75" thickBot="1" x14ac:dyDescent="0.25">
      <c r="A3" s="143" t="s">
        <v>928</v>
      </c>
      <c r="B3" s="279" t="s">
        <v>929</v>
      </c>
      <c r="C3" s="279"/>
      <c r="D3" s="279"/>
      <c r="E3" s="279"/>
      <c r="F3" s="279"/>
      <c r="G3" s="279"/>
      <c r="H3" s="279"/>
      <c r="I3" s="279"/>
      <c r="J3" s="279"/>
      <c r="K3" s="279"/>
      <c r="L3" s="279"/>
      <c r="M3" s="279"/>
    </row>
    <row r="4" spans="1:13" ht="15.75" thickBot="1" x14ac:dyDescent="0.25">
      <c r="A4" s="143" t="s">
        <v>931</v>
      </c>
      <c r="B4" s="279" t="s">
        <v>949</v>
      </c>
      <c r="C4" s="279"/>
      <c r="D4" s="279"/>
      <c r="E4" s="279"/>
      <c r="F4" s="279"/>
      <c r="G4" s="279"/>
      <c r="H4" s="279"/>
      <c r="I4" s="279"/>
      <c r="J4" s="280" t="s">
        <v>1020</v>
      </c>
      <c r="K4" s="280"/>
      <c r="L4" s="144">
        <f>'Orçamento Sintético'!J10</f>
        <v>1881017.4500000002</v>
      </c>
      <c r="M4" s="145"/>
    </row>
    <row r="5" spans="1:13" ht="15.75" thickBot="1" x14ac:dyDescent="0.25">
      <c r="A5" s="143" t="s">
        <v>933</v>
      </c>
      <c r="B5" s="273" t="s">
        <v>950</v>
      </c>
      <c r="C5" s="273"/>
      <c r="D5" s="273"/>
      <c r="E5" s="273"/>
      <c r="F5" s="273"/>
      <c r="G5" s="273"/>
      <c r="H5" s="273"/>
      <c r="I5" s="273"/>
      <c r="J5" s="274" t="s">
        <v>1021</v>
      </c>
      <c r="K5" s="274"/>
      <c r="L5" s="146" t="s">
        <v>1023</v>
      </c>
      <c r="M5" s="147"/>
    </row>
    <row r="6" spans="1:13" ht="26.25" thickBot="1" x14ac:dyDescent="0.25">
      <c r="A6" s="148" t="s">
        <v>999</v>
      </c>
      <c r="B6" s="149" t="s">
        <v>1000</v>
      </c>
      <c r="C6" s="150" t="s">
        <v>1001</v>
      </c>
      <c r="D6" s="150" t="s">
        <v>1002</v>
      </c>
      <c r="E6" s="151" t="s">
        <v>1003</v>
      </c>
      <c r="F6" s="152" t="s">
        <v>1004</v>
      </c>
      <c r="G6" s="151" t="s">
        <v>1005</v>
      </c>
      <c r="H6" s="151" t="s">
        <v>1006</v>
      </c>
      <c r="I6" s="153" t="s">
        <v>1007</v>
      </c>
      <c r="J6" s="154" t="s">
        <v>1008</v>
      </c>
      <c r="K6" s="155" t="s">
        <v>1009</v>
      </c>
      <c r="L6" s="153" t="s">
        <v>1010</v>
      </c>
      <c r="M6" s="156" t="s">
        <v>10</v>
      </c>
    </row>
    <row r="7" spans="1:13" x14ac:dyDescent="0.2">
      <c r="A7" s="275" t="s">
        <v>1022</v>
      </c>
      <c r="B7" s="276" t="str">
        <f>'Orçamento Sintético'!D13</f>
        <v>SERVIÇOS PRELIMINARES</v>
      </c>
      <c r="C7" s="130" t="s">
        <v>1011</v>
      </c>
      <c r="D7" s="157">
        <f>D8/$D$16</f>
        <v>9.6921216759578693E-3</v>
      </c>
      <c r="E7" s="131">
        <v>0.3</v>
      </c>
      <c r="F7" s="131">
        <v>0.1</v>
      </c>
      <c r="G7" s="131">
        <v>0.1</v>
      </c>
      <c r="H7" s="131">
        <v>0.1</v>
      </c>
      <c r="I7" s="131">
        <v>0.1</v>
      </c>
      <c r="J7" s="131">
        <v>0.1</v>
      </c>
      <c r="K7" s="131">
        <v>0.1</v>
      </c>
      <c r="L7" s="131">
        <v>0.1</v>
      </c>
      <c r="M7" s="133">
        <f>SUM(E7:L7)</f>
        <v>0.99999999999999989</v>
      </c>
    </row>
    <row r="8" spans="1:13" x14ac:dyDescent="0.2">
      <c r="A8" s="270"/>
      <c r="B8" s="272"/>
      <c r="C8" s="132" t="s">
        <v>1012</v>
      </c>
      <c r="D8" s="158">
        <f>'Orçamento Sintético'!I13</f>
        <v>18231.05</v>
      </c>
      <c r="E8" s="159">
        <f>$D$8*E7</f>
        <v>5469.3149999999996</v>
      </c>
      <c r="F8" s="159">
        <f t="shared" ref="F8:L8" si="0">$D$8*F7</f>
        <v>1823.105</v>
      </c>
      <c r="G8" s="159">
        <f t="shared" si="0"/>
        <v>1823.105</v>
      </c>
      <c r="H8" s="159">
        <f t="shared" si="0"/>
        <v>1823.105</v>
      </c>
      <c r="I8" s="159">
        <f t="shared" si="0"/>
        <v>1823.105</v>
      </c>
      <c r="J8" s="159">
        <f t="shared" si="0"/>
        <v>1823.105</v>
      </c>
      <c r="K8" s="159">
        <f t="shared" si="0"/>
        <v>1823.105</v>
      </c>
      <c r="L8" s="159">
        <f t="shared" si="0"/>
        <v>1823.105</v>
      </c>
      <c r="M8" s="160">
        <f>SUM(E8:L8)</f>
        <v>18231.05</v>
      </c>
    </row>
    <row r="9" spans="1:13" x14ac:dyDescent="0.2">
      <c r="A9" s="269" t="s">
        <v>1013</v>
      </c>
      <c r="B9" s="271" t="str">
        <f>'Orçamento Sintético'!D22</f>
        <v>QUADRA COBERTA</v>
      </c>
      <c r="C9" s="132" t="s">
        <v>1011</v>
      </c>
      <c r="D9" s="161">
        <f>D10/$D$16</f>
        <v>0.55641094132327151</v>
      </c>
      <c r="E9" s="131">
        <v>0.2</v>
      </c>
      <c r="F9" s="131">
        <v>0.2</v>
      </c>
      <c r="G9" s="131">
        <v>0.2</v>
      </c>
      <c r="H9" s="131">
        <v>0.15</v>
      </c>
      <c r="I9" s="131">
        <v>0.15</v>
      </c>
      <c r="J9" s="131">
        <v>0.1</v>
      </c>
      <c r="K9" s="131">
        <v>0</v>
      </c>
      <c r="L9" s="131">
        <v>0</v>
      </c>
      <c r="M9" s="133">
        <f>SUM(E9:L9)</f>
        <v>1.0000000000000002</v>
      </c>
    </row>
    <row r="10" spans="1:13" x14ac:dyDescent="0.2">
      <c r="A10" s="270"/>
      <c r="B10" s="272"/>
      <c r="C10" s="132" t="s">
        <v>1012</v>
      </c>
      <c r="D10" s="158">
        <f>'Orçamento Sintético'!I22</f>
        <v>1046618.69</v>
      </c>
      <c r="E10" s="159">
        <f>$D$10*E9</f>
        <v>209323.73800000001</v>
      </c>
      <c r="F10" s="159">
        <f t="shared" ref="F10:L10" si="1">$D$10*F9</f>
        <v>209323.73800000001</v>
      </c>
      <c r="G10" s="159">
        <f t="shared" si="1"/>
        <v>209323.73800000001</v>
      </c>
      <c r="H10" s="159">
        <f t="shared" si="1"/>
        <v>156992.80349999998</v>
      </c>
      <c r="I10" s="159">
        <f t="shared" si="1"/>
        <v>156992.80349999998</v>
      </c>
      <c r="J10" s="159">
        <f t="shared" si="1"/>
        <v>104661.86900000001</v>
      </c>
      <c r="K10" s="159">
        <f t="shared" si="1"/>
        <v>0</v>
      </c>
      <c r="L10" s="159">
        <f t="shared" si="1"/>
        <v>0</v>
      </c>
      <c r="M10" s="160">
        <f>SUM(E10:L10)</f>
        <v>1046618.69</v>
      </c>
    </row>
    <row r="11" spans="1:13" x14ac:dyDescent="0.2">
      <c r="A11" s="269" t="s">
        <v>1014</v>
      </c>
      <c r="B11" s="271" t="str">
        <f>'Orçamento Sintético'!D128</f>
        <v>PALCO, VESTIÁRIOS E CANTINA</v>
      </c>
      <c r="C11" s="132" t="s">
        <v>1011</v>
      </c>
      <c r="D11" s="161">
        <f>D12/$D$16</f>
        <v>0.43097363078689138</v>
      </c>
      <c r="E11" s="131"/>
      <c r="F11" s="131"/>
      <c r="G11" s="131">
        <v>0.1</v>
      </c>
      <c r="H11" s="131">
        <v>0.15</v>
      </c>
      <c r="I11" s="131">
        <v>0.15</v>
      </c>
      <c r="J11" s="131">
        <v>0.2</v>
      </c>
      <c r="K11" s="131">
        <v>0.2</v>
      </c>
      <c r="L11" s="131">
        <v>0.2</v>
      </c>
      <c r="M11" s="133">
        <f>SUM(E11:L11)</f>
        <v>1</v>
      </c>
    </row>
    <row r="12" spans="1:13" x14ac:dyDescent="0.2">
      <c r="A12" s="270"/>
      <c r="B12" s="272"/>
      <c r="C12" s="132" t="s">
        <v>1012</v>
      </c>
      <c r="D12" s="158">
        <f>'Orçamento Sintético'!I128</f>
        <v>810668.92</v>
      </c>
      <c r="E12" s="159">
        <f t="shared" ref="E12:L12" si="2">$D$12*E11</f>
        <v>0</v>
      </c>
      <c r="F12" s="159">
        <f t="shared" si="2"/>
        <v>0</v>
      </c>
      <c r="G12" s="159">
        <f t="shared" si="2"/>
        <v>81066.892000000007</v>
      </c>
      <c r="H12" s="159">
        <f t="shared" si="2"/>
        <v>121600.338</v>
      </c>
      <c r="I12" s="159">
        <f t="shared" si="2"/>
        <v>121600.338</v>
      </c>
      <c r="J12" s="159">
        <f t="shared" si="2"/>
        <v>162133.78400000001</v>
      </c>
      <c r="K12" s="159">
        <f t="shared" si="2"/>
        <v>162133.78400000001</v>
      </c>
      <c r="L12" s="159">
        <f t="shared" si="2"/>
        <v>162133.78400000001</v>
      </c>
      <c r="M12" s="160">
        <f>SUM(E12:L12)</f>
        <v>810668.92</v>
      </c>
    </row>
    <row r="13" spans="1:13" x14ac:dyDescent="0.2">
      <c r="A13" s="269" t="s">
        <v>1015</v>
      </c>
      <c r="B13" s="271" t="str">
        <f>'Orçamento Sintético'!D358</f>
        <v>SERVIÇOS FINAIS</v>
      </c>
      <c r="C13" s="132" t="s">
        <v>1011</v>
      </c>
      <c r="D13" s="161">
        <f>D14/$D$16</f>
        <v>2.9233062138790894E-3</v>
      </c>
      <c r="E13" s="131"/>
      <c r="F13" s="131"/>
      <c r="G13" s="131"/>
      <c r="H13" s="131"/>
      <c r="I13" s="131"/>
      <c r="J13" s="131"/>
      <c r="K13" s="131"/>
      <c r="L13" s="131">
        <v>1</v>
      </c>
      <c r="M13" s="133">
        <f>SUM(E13:L13)</f>
        <v>1</v>
      </c>
    </row>
    <row r="14" spans="1:13" ht="15" thickBot="1" x14ac:dyDescent="0.25">
      <c r="A14" s="270"/>
      <c r="B14" s="272"/>
      <c r="C14" s="134" t="s">
        <v>1012</v>
      </c>
      <c r="D14" s="158">
        <f>'Orçamento Sintético'!I358</f>
        <v>5498.79</v>
      </c>
      <c r="E14" s="159">
        <f>$D$14*E13</f>
        <v>0</v>
      </c>
      <c r="F14" s="159">
        <f t="shared" ref="F14:L14" si="3">$D$14*F13</f>
        <v>0</v>
      </c>
      <c r="G14" s="159">
        <f t="shared" si="3"/>
        <v>0</v>
      </c>
      <c r="H14" s="159">
        <f t="shared" si="3"/>
        <v>0</v>
      </c>
      <c r="I14" s="159">
        <f t="shared" si="3"/>
        <v>0</v>
      </c>
      <c r="J14" s="159">
        <f t="shared" si="3"/>
        <v>0</v>
      </c>
      <c r="K14" s="159">
        <f t="shared" si="3"/>
        <v>0</v>
      </c>
      <c r="L14" s="159">
        <f t="shared" si="3"/>
        <v>5498.79</v>
      </c>
      <c r="M14" s="160">
        <f>SUM(E14:L14)</f>
        <v>5498.79</v>
      </c>
    </row>
    <row r="15" spans="1:13" ht="15" thickBot="1" x14ac:dyDescent="0.25">
      <c r="A15" s="263" t="s">
        <v>1016</v>
      </c>
      <c r="B15" s="264"/>
      <c r="C15" s="135" t="s">
        <v>1011</v>
      </c>
      <c r="D15" s="162">
        <f>D13+D11+D9+D7</f>
        <v>0.99999999999999989</v>
      </c>
      <c r="E15" s="136">
        <f>E16/$D$16</f>
        <v>0.11418982476744167</v>
      </c>
      <c r="F15" s="136">
        <f t="shared" ref="F15:L15" si="4">F16/$D$16</f>
        <v>0.11225140043225011</v>
      </c>
      <c r="G15" s="136">
        <f t="shared" si="4"/>
        <v>0.15534876351093926</v>
      </c>
      <c r="H15" s="136">
        <f t="shared" si="4"/>
        <v>0.14907689798412024</v>
      </c>
      <c r="I15" s="136">
        <f t="shared" si="4"/>
        <v>0.14907689798412024</v>
      </c>
      <c r="J15" s="136">
        <f t="shared" si="4"/>
        <v>0.14280503245730122</v>
      </c>
      <c r="K15" s="136">
        <f t="shared" si="4"/>
        <v>8.7163938324974072E-2</v>
      </c>
      <c r="L15" s="136">
        <f t="shared" si="4"/>
        <v>9.0087244538853167E-2</v>
      </c>
      <c r="M15" s="163">
        <f>SUM(E15:L15)</f>
        <v>1</v>
      </c>
    </row>
    <row r="16" spans="1:13" ht="15" thickBot="1" x14ac:dyDescent="0.25">
      <c r="A16" s="263"/>
      <c r="B16" s="264"/>
      <c r="C16" s="137" t="s">
        <v>1012</v>
      </c>
      <c r="D16" s="164">
        <f>D8+D10+D12+D14</f>
        <v>1881017.4500000002</v>
      </c>
      <c r="E16" s="164">
        <f>E8+E10+E12+E14</f>
        <v>214793.05300000001</v>
      </c>
      <c r="F16" s="164">
        <f t="shared" ref="F16:L16" si="5">F8+F10+F12+F14</f>
        <v>211146.84300000002</v>
      </c>
      <c r="G16" s="164">
        <f t="shared" si="5"/>
        <v>292213.73500000004</v>
      </c>
      <c r="H16" s="164">
        <f t="shared" si="5"/>
        <v>280416.24650000001</v>
      </c>
      <c r="I16" s="164">
        <f t="shared" si="5"/>
        <v>280416.24650000001</v>
      </c>
      <c r="J16" s="164">
        <f t="shared" si="5"/>
        <v>268618.75800000003</v>
      </c>
      <c r="K16" s="164">
        <f t="shared" si="5"/>
        <v>163956.88900000002</v>
      </c>
      <c r="L16" s="164">
        <f t="shared" si="5"/>
        <v>169455.67900000003</v>
      </c>
      <c r="M16" s="165">
        <f>SUM(E16:L16)</f>
        <v>1881017.4500000002</v>
      </c>
    </row>
    <row r="17" spans="1:13" ht="15" thickBot="1" x14ac:dyDescent="0.25">
      <c r="A17" s="265" t="s">
        <v>1017</v>
      </c>
      <c r="B17" s="266"/>
      <c r="C17" s="138" t="s">
        <v>1011</v>
      </c>
      <c r="D17" s="162">
        <f>D13+D11+D9+D7</f>
        <v>0.99999999999999989</v>
      </c>
      <c r="E17" s="136">
        <f>E18/$D$18</f>
        <v>0.11418982476744167</v>
      </c>
      <c r="F17" s="136">
        <f t="shared" ref="F17:L17" si="6">F18/$D$18</f>
        <v>0.22644122519969181</v>
      </c>
      <c r="G17" s="136">
        <f t="shared" si="6"/>
        <v>0.38178998871063102</v>
      </c>
      <c r="H17" s="136">
        <f t="shared" si="6"/>
        <v>0.53086688669475124</v>
      </c>
      <c r="I17" s="136">
        <f t="shared" si="6"/>
        <v>0.67994378467887151</v>
      </c>
      <c r="J17" s="136">
        <f t="shared" si="6"/>
        <v>0.82274881713617276</v>
      </c>
      <c r="K17" s="136">
        <f t="shared" si="6"/>
        <v>0.9099127554611468</v>
      </c>
      <c r="L17" s="136">
        <f t="shared" si="6"/>
        <v>1</v>
      </c>
      <c r="M17" s="166">
        <f>M16/D18</f>
        <v>1</v>
      </c>
    </row>
    <row r="18" spans="1:13" ht="15" thickBot="1" x14ac:dyDescent="0.25">
      <c r="A18" s="267"/>
      <c r="B18" s="268"/>
      <c r="C18" s="139" t="s">
        <v>1012</v>
      </c>
      <c r="D18" s="165">
        <f>D8+D10+D12+D14</f>
        <v>1881017.4500000002</v>
      </c>
      <c r="E18" s="165">
        <f>E16</f>
        <v>214793.05300000001</v>
      </c>
      <c r="F18" s="165">
        <f>F16+E18</f>
        <v>425939.89600000007</v>
      </c>
      <c r="G18" s="165">
        <f t="shared" ref="G18:L18" si="7">G16+F18</f>
        <v>718153.63100000005</v>
      </c>
      <c r="H18" s="165">
        <f t="shared" si="7"/>
        <v>998569.87750000006</v>
      </c>
      <c r="I18" s="165">
        <f t="shared" si="7"/>
        <v>1278986.1240000001</v>
      </c>
      <c r="J18" s="165">
        <f t="shared" ref="J18" si="8">J16+I18</f>
        <v>1547604.8820000002</v>
      </c>
      <c r="K18" s="165">
        <f t="shared" ref="K18" si="9">K16+J18</f>
        <v>1711561.7710000002</v>
      </c>
      <c r="L18" s="165">
        <f t="shared" ref="L18" si="10">L16+K18</f>
        <v>1881017.4500000002</v>
      </c>
      <c r="M18" s="165">
        <f>M14+M12+M10+M8</f>
        <v>1881017.45</v>
      </c>
    </row>
    <row r="19" spans="1:13" x14ac:dyDescent="0.2">
      <c r="A19" s="167"/>
      <c r="B19" s="140"/>
      <c r="C19" s="141"/>
      <c r="D19" s="141"/>
      <c r="E19" s="140"/>
      <c r="F19" s="140"/>
      <c r="G19" s="140"/>
      <c r="H19" s="140"/>
      <c r="I19" s="140"/>
      <c r="J19" s="140"/>
      <c r="K19" s="140"/>
      <c r="L19" s="140"/>
      <c r="M19" s="168"/>
    </row>
    <row r="20" spans="1:13" x14ac:dyDescent="0.2">
      <c r="A20" s="169"/>
      <c r="B20" s="142"/>
      <c r="C20" s="142"/>
      <c r="D20" s="142"/>
      <c r="E20" s="126" t="s">
        <v>952</v>
      </c>
      <c r="F20" s="126"/>
      <c r="G20" s="126"/>
      <c r="H20" s="126"/>
      <c r="I20" s="126"/>
      <c r="J20" s="142"/>
      <c r="K20" s="142"/>
      <c r="L20" s="142"/>
      <c r="M20" s="124"/>
    </row>
    <row r="21" spans="1:13" x14ac:dyDescent="0.2">
      <c r="A21" s="169"/>
      <c r="B21" s="142"/>
      <c r="C21" s="142"/>
      <c r="D21" s="142"/>
      <c r="E21" s="127" t="s">
        <v>953</v>
      </c>
      <c r="F21" s="127"/>
      <c r="G21" s="127"/>
      <c r="H21" s="127"/>
      <c r="I21" s="127"/>
      <c r="J21" s="142"/>
      <c r="K21" s="171">
        <f ca="1">TODAY()</f>
        <v>46121</v>
      </c>
      <c r="L21" s="171"/>
      <c r="M21" s="124"/>
    </row>
    <row r="22" spans="1:13" x14ac:dyDescent="0.2">
      <c r="A22" s="169"/>
      <c r="B22" s="142"/>
      <c r="C22" s="142"/>
      <c r="D22" s="142"/>
      <c r="E22" s="125"/>
      <c r="F22" s="125"/>
      <c r="G22" s="125"/>
      <c r="H22" s="125"/>
      <c r="I22" s="125"/>
      <c r="J22" s="142"/>
      <c r="K22" s="128" t="s">
        <v>954</v>
      </c>
      <c r="L22" s="125"/>
      <c r="M22" s="124"/>
    </row>
    <row r="23" spans="1:13" x14ac:dyDescent="0.2">
      <c r="A23" s="169"/>
      <c r="B23" s="142"/>
      <c r="C23" s="142"/>
      <c r="D23" s="142"/>
      <c r="E23" s="125"/>
      <c r="F23" s="125"/>
      <c r="G23" s="125"/>
      <c r="H23" s="125"/>
      <c r="I23" s="125"/>
      <c r="J23" s="142"/>
      <c r="K23" s="142"/>
      <c r="L23" s="142"/>
      <c r="M23" s="124"/>
    </row>
    <row r="24" spans="1:13" x14ac:dyDescent="0.2">
      <c r="A24" s="169"/>
      <c r="B24" s="142"/>
      <c r="C24" s="142"/>
      <c r="D24" s="142"/>
      <c r="E24" s="125"/>
      <c r="F24" s="125"/>
      <c r="G24" s="125"/>
      <c r="H24" s="125"/>
      <c r="I24" s="125"/>
      <c r="J24" s="142"/>
      <c r="K24" s="142"/>
      <c r="L24" s="142"/>
      <c r="M24" s="124"/>
    </row>
    <row r="25" spans="1:13" ht="15" thickBot="1" x14ac:dyDescent="0.25">
      <c r="A25" s="169"/>
      <c r="B25" s="142"/>
      <c r="C25" s="142"/>
      <c r="D25" s="142"/>
      <c r="E25" s="260"/>
      <c r="F25" s="260"/>
      <c r="G25" s="260"/>
      <c r="H25" s="260"/>
      <c r="I25" s="260"/>
      <c r="J25" s="142"/>
      <c r="K25" s="142"/>
      <c r="L25" s="142"/>
      <c r="M25" s="124"/>
    </row>
    <row r="26" spans="1:13" x14ac:dyDescent="0.2">
      <c r="A26" s="169"/>
      <c r="B26" s="142"/>
      <c r="C26" s="142"/>
      <c r="D26" s="142"/>
      <c r="E26" s="261" t="s">
        <v>955</v>
      </c>
      <c r="F26" s="261"/>
      <c r="G26" s="261"/>
      <c r="H26" s="261"/>
      <c r="I26" s="261"/>
      <c r="J26" s="142"/>
      <c r="K26" s="142"/>
      <c r="L26" s="142"/>
      <c r="M26" s="124"/>
    </row>
    <row r="27" spans="1:13" x14ac:dyDescent="0.2">
      <c r="A27" s="169"/>
      <c r="B27" s="142"/>
      <c r="C27" s="142"/>
      <c r="D27" s="142"/>
      <c r="E27" s="261"/>
      <c r="F27" s="261"/>
      <c r="G27" s="261"/>
      <c r="H27" s="261"/>
      <c r="I27" s="261"/>
      <c r="J27" s="142"/>
      <c r="K27" s="142"/>
      <c r="L27" s="142"/>
      <c r="M27" s="124"/>
    </row>
    <row r="28" spans="1:13" x14ac:dyDescent="0.2">
      <c r="A28" s="169"/>
      <c r="B28" s="142"/>
      <c r="C28" s="142"/>
      <c r="D28" s="142"/>
      <c r="E28" s="259" t="s">
        <v>956</v>
      </c>
      <c r="F28" s="259"/>
      <c r="G28" s="259"/>
      <c r="H28" s="259"/>
      <c r="I28" s="259"/>
      <c r="J28" s="142"/>
      <c r="K28" s="142"/>
      <c r="L28" s="142"/>
      <c r="M28" s="124"/>
    </row>
    <row r="29" spans="1:13" x14ac:dyDescent="0.2">
      <c r="A29" s="169"/>
      <c r="B29" s="142"/>
      <c r="C29" s="142"/>
      <c r="D29" s="142"/>
      <c r="E29" s="125"/>
      <c r="F29" s="125"/>
      <c r="G29" s="125"/>
      <c r="H29" s="125"/>
      <c r="I29" s="125"/>
      <c r="J29" s="170"/>
      <c r="K29" s="170"/>
      <c r="L29" s="170"/>
      <c r="M29" s="124"/>
    </row>
    <row r="30" spans="1:13" x14ac:dyDescent="0.2">
      <c r="A30" s="169"/>
      <c r="B30" s="142"/>
      <c r="C30" s="142"/>
      <c r="D30" s="142"/>
      <c r="E30" s="125"/>
      <c r="F30" s="125"/>
      <c r="G30" s="125"/>
      <c r="H30" s="125"/>
      <c r="I30" s="125"/>
      <c r="J30" s="170"/>
      <c r="K30" s="170"/>
      <c r="L30" s="170"/>
      <c r="M30" s="124"/>
    </row>
    <row r="31" spans="1:13" x14ac:dyDescent="0.2">
      <c r="A31" s="169"/>
      <c r="B31" s="142"/>
      <c r="C31" s="142"/>
      <c r="D31" s="142"/>
      <c r="E31" s="125"/>
      <c r="F31" s="125"/>
      <c r="G31" s="125"/>
      <c r="H31" s="125"/>
      <c r="I31" s="125"/>
      <c r="J31" s="142"/>
      <c r="K31" s="142"/>
      <c r="L31" s="142"/>
      <c r="M31" s="124"/>
    </row>
    <row r="32" spans="1:13" x14ac:dyDescent="0.2">
      <c r="A32" s="169"/>
      <c r="B32" s="142"/>
      <c r="C32" s="142"/>
      <c r="D32" s="142"/>
      <c r="E32" s="125"/>
      <c r="F32" s="125"/>
      <c r="G32" s="125"/>
      <c r="H32" s="125"/>
      <c r="I32" s="125"/>
      <c r="J32" s="142"/>
      <c r="K32" s="142"/>
      <c r="L32" s="142"/>
      <c r="M32" s="124"/>
    </row>
    <row r="33" spans="1:13" ht="15" thickBot="1" x14ac:dyDescent="0.25">
      <c r="A33" s="169"/>
      <c r="B33" s="142"/>
      <c r="C33" s="142"/>
      <c r="D33" s="142"/>
      <c r="E33" s="260"/>
      <c r="F33" s="260"/>
      <c r="G33" s="260"/>
      <c r="H33" s="260"/>
      <c r="I33" s="260"/>
      <c r="J33" s="142"/>
      <c r="K33" s="142"/>
      <c r="L33" s="142"/>
      <c r="M33" s="124"/>
    </row>
    <row r="34" spans="1:13" x14ac:dyDescent="0.2">
      <c r="A34" s="169"/>
      <c r="B34" s="142"/>
      <c r="C34" s="142"/>
      <c r="D34" s="142"/>
      <c r="E34" s="262" t="s">
        <v>957</v>
      </c>
      <c r="F34" s="262"/>
      <c r="G34" s="262"/>
      <c r="H34" s="262"/>
      <c r="I34" s="262"/>
      <c r="J34" s="142"/>
      <c r="K34" s="142"/>
      <c r="L34" s="142"/>
      <c r="M34" s="124"/>
    </row>
    <row r="35" spans="1:13" x14ac:dyDescent="0.2">
      <c r="A35" s="169"/>
      <c r="B35" s="142"/>
      <c r="C35" s="142"/>
      <c r="D35" s="142"/>
      <c r="E35" s="259" t="s">
        <v>958</v>
      </c>
      <c r="F35" s="259"/>
      <c r="G35" s="259"/>
      <c r="H35" s="259"/>
      <c r="I35" s="259"/>
      <c r="J35" s="142"/>
      <c r="K35" s="142"/>
      <c r="L35" s="142"/>
      <c r="M35" s="124"/>
    </row>
    <row r="36" spans="1:13" x14ac:dyDescent="0.2">
      <c r="A36" s="169"/>
      <c r="B36" s="142"/>
      <c r="C36" s="142"/>
      <c r="D36" s="142"/>
      <c r="E36" s="259" t="s">
        <v>959</v>
      </c>
      <c r="F36" s="259"/>
      <c r="G36" s="259"/>
      <c r="H36" s="259"/>
      <c r="I36" s="259"/>
      <c r="J36" s="142"/>
      <c r="K36" s="142"/>
      <c r="L36" s="142"/>
      <c r="M36" s="124"/>
    </row>
    <row r="37" spans="1:13" ht="15" thickBot="1" x14ac:dyDescent="0.25">
      <c r="A37" s="118"/>
      <c r="B37" s="119"/>
      <c r="C37" s="119"/>
      <c r="D37" s="119"/>
      <c r="E37" s="119"/>
      <c r="F37" s="119"/>
      <c r="G37" s="119"/>
      <c r="H37" s="119"/>
      <c r="I37" s="119"/>
      <c r="J37" s="119"/>
      <c r="K37" s="119"/>
      <c r="L37" s="119"/>
      <c r="M37" s="129"/>
    </row>
    <row r="38" spans="1:13" x14ac:dyDescent="0.2">
      <c r="A38" s="123"/>
      <c r="B38" s="123"/>
      <c r="C38" s="123"/>
      <c r="D38" s="123"/>
      <c r="E38" s="123"/>
      <c r="F38" s="123"/>
      <c r="G38" s="123"/>
      <c r="H38" s="123"/>
      <c r="I38" s="123"/>
      <c r="J38" s="123"/>
      <c r="K38" s="123"/>
      <c r="L38" s="123"/>
      <c r="M38" s="123"/>
    </row>
    <row r="39" spans="1:13" x14ac:dyDescent="0.2">
      <c r="A39" s="123"/>
      <c r="B39" s="123"/>
      <c r="C39" s="123"/>
      <c r="D39" s="123"/>
      <c r="E39" s="123"/>
      <c r="F39" s="123"/>
      <c r="G39" s="123"/>
      <c r="H39" s="123"/>
      <c r="I39" s="123"/>
      <c r="J39" s="123"/>
      <c r="K39" s="123"/>
      <c r="L39" s="123"/>
      <c r="M39" s="123"/>
    </row>
    <row r="40" spans="1:13" x14ac:dyDescent="0.2">
      <c r="A40" s="123"/>
      <c r="B40" s="123"/>
      <c r="C40" s="123"/>
      <c r="D40" s="123"/>
      <c r="E40" s="123"/>
      <c r="F40" s="123"/>
      <c r="G40" s="123"/>
      <c r="H40" s="123"/>
      <c r="I40" s="123"/>
      <c r="J40" s="123"/>
      <c r="K40" s="123"/>
      <c r="L40" s="123"/>
      <c r="M40" s="123"/>
    </row>
  </sheetData>
  <mergeCells count="25">
    <mergeCell ref="A9:A10"/>
    <mergeCell ref="B9:B10"/>
    <mergeCell ref="A1:M1"/>
    <mergeCell ref="A2:M2"/>
    <mergeCell ref="B3:M3"/>
    <mergeCell ref="B4:I4"/>
    <mergeCell ref="J4:K4"/>
    <mergeCell ref="B5:I5"/>
    <mergeCell ref="J5:K5"/>
    <mergeCell ref="A7:A8"/>
    <mergeCell ref="B7:B8"/>
    <mergeCell ref="A15:B16"/>
    <mergeCell ref="A17:B18"/>
    <mergeCell ref="A11:A12"/>
    <mergeCell ref="B11:B12"/>
    <mergeCell ref="A13:A14"/>
    <mergeCell ref="B13:B14"/>
    <mergeCell ref="E35:I35"/>
    <mergeCell ref="E36:I36"/>
    <mergeCell ref="K21:L21"/>
    <mergeCell ref="E25:I25"/>
    <mergeCell ref="E26:I27"/>
    <mergeCell ref="E28:I28"/>
    <mergeCell ref="E33:I33"/>
    <mergeCell ref="E34:I34"/>
  </mergeCells>
  <conditionalFormatting sqref="E9:L9 E13:L13 E7:L7 E11:L11">
    <cfRule type="cellIs" dxfId="0" priority="1" operator="greaterThan">
      <formula>0</formula>
    </cfRule>
  </conditionalFormatting>
  <pageMargins left="0.31496062992125984" right="0.31496062992125984" top="0.59055118110236227" bottom="0.59055118110236227"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BDI</vt:lpstr>
      <vt:lpstr>Orçamento Sintético</vt:lpstr>
      <vt:lpstr>CONOGRAMA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computadores1985@hotmail.com</cp:lastModifiedBy>
  <cp:revision>0</cp:revision>
  <cp:lastPrinted>2026-04-09T14:46:52Z</cp:lastPrinted>
  <dcterms:created xsi:type="dcterms:W3CDTF">2026-04-06T13:18:41Z</dcterms:created>
  <dcterms:modified xsi:type="dcterms:W3CDTF">2026-04-09T14:47:00Z</dcterms:modified>
</cp:coreProperties>
</file>